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5" windowWidth="15120" windowHeight="8010" firstSheet="2" activeTab="2"/>
  </bookViews>
  <sheets>
    <sheet name="2017" sheetId="5" state="hidden" r:id="rId1"/>
    <sheet name="2017 (2)" sheetId="7" state="hidden" r:id="rId2"/>
    <sheet name="оф 10 меся" sheetId="4" r:id="rId3"/>
    <sheet name="оф2017" sheetId="6" state="hidden" r:id="rId4"/>
    <sheet name="Лист1" sheetId="1" state="hidden" r:id="rId5"/>
    <sheet name="Лист2" sheetId="2" state="hidden" r:id="rId6"/>
    <sheet name="Лист3" sheetId="3" state="hidden" r:id="rId7"/>
    <sheet name="Лист4" sheetId="8" r:id="rId8"/>
  </sheets>
  <externalReferences>
    <externalReference r:id="rId9"/>
    <externalReference r:id="rId10"/>
    <externalReference r:id="rId11"/>
  </externalReferences>
  <definedNames>
    <definedName name="_GoBack" localSheetId="0">'2017'!$J$14</definedName>
    <definedName name="_GoBack" localSheetId="1">'2017 (2)'!$J$14</definedName>
  </definedNames>
  <calcPr calcId="125725"/>
</workbook>
</file>

<file path=xl/calcChain.xml><?xml version="1.0" encoding="utf-8"?>
<calcChain xmlns="http://schemas.openxmlformats.org/spreadsheetml/2006/main">
  <c r="F28" i="6"/>
  <c r="S13" i="4"/>
  <c r="S12"/>
  <c r="S11"/>
  <c r="K28" i="6"/>
  <c r="K27"/>
  <c r="K26"/>
  <c r="K24"/>
  <c r="K23"/>
  <c r="K22"/>
  <c r="K21"/>
  <c r="K20"/>
  <c r="K18"/>
  <c r="K17"/>
  <c r="K16"/>
  <c r="K15"/>
  <c r="K14"/>
  <c r="K13"/>
  <c r="K12"/>
  <c r="K11"/>
  <c r="L28"/>
  <c r="L27"/>
  <c r="L26"/>
  <c r="L24"/>
  <c r="L23"/>
  <c r="L22"/>
  <c r="L21"/>
  <c r="L20"/>
  <c r="L18"/>
  <c r="L17"/>
  <c r="L16"/>
  <c r="L15"/>
  <c r="L14"/>
  <c r="L13"/>
  <c r="L12"/>
  <c r="L11"/>
  <c r="M28"/>
  <c r="M27"/>
  <c r="M26"/>
  <c r="M24"/>
  <c r="M23"/>
  <c r="M22"/>
  <c r="M21"/>
  <c r="M20"/>
  <c r="M18"/>
  <c r="M17"/>
  <c r="M16"/>
  <c r="M15"/>
  <c r="M14"/>
  <c r="M13"/>
  <c r="M12"/>
  <c r="M11"/>
  <c r="T27"/>
  <c r="T26"/>
  <c r="N26" s="1"/>
  <c r="T24"/>
  <c r="T23"/>
  <c r="N23" s="1"/>
  <c r="T22"/>
  <c r="T21"/>
  <c r="P21" s="1"/>
  <c r="T20"/>
  <c r="T18"/>
  <c r="O18" s="1"/>
  <c r="T17"/>
  <c r="T16"/>
  <c r="P16" s="1"/>
  <c r="T15"/>
  <c r="T14"/>
  <c r="O14" s="1"/>
  <c r="T13"/>
  <c r="T12"/>
  <c r="P12" s="1"/>
  <c r="O28"/>
  <c r="P22"/>
  <c r="P24"/>
  <c r="P13"/>
  <c r="P15"/>
  <c r="P17"/>
  <c r="T11"/>
  <c r="P11" s="1"/>
  <c r="P27"/>
  <c r="P28"/>
  <c r="P26"/>
  <c r="O27"/>
  <c r="O26"/>
  <c r="N27"/>
  <c r="N28"/>
  <c r="P23"/>
  <c r="P20"/>
  <c r="O21"/>
  <c r="O22"/>
  <c r="O23"/>
  <c r="O24"/>
  <c r="O20"/>
  <c r="N20"/>
  <c r="P14"/>
  <c r="P18"/>
  <c r="O13"/>
  <c r="O15"/>
  <c r="O17"/>
  <c r="N12"/>
  <c r="N16"/>
  <c r="T55" i="7"/>
  <c r="T54"/>
  <c r="T53"/>
  <c r="T52"/>
  <c r="T51"/>
  <c r="T50"/>
  <c r="T49"/>
  <c r="T48"/>
  <c r="J13" i="6"/>
  <c r="J11"/>
  <c r="F15"/>
  <c r="F13"/>
  <c r="F11"/>
  <c r="E28"/>
  <c r="E15"/>
  <c r="E13"/>
  <c r="E11"/>
  <c r="V30" i="7"/>
  <c r="X29"/>
  <c r="X30" s="1"/>
  <c r="W29"/>
  <c r="W30" s="1"/>
  <c r="U29"/>
  <c r="U30" s="1"/>
  <c r="R29"/>
  <c r="R30" s="1"/>
  <c r="O29"/>
  <c r="O30" s="1"/>
  <c r="N29"/>
  <c r="N30" s="1"/>
  <c r="Y28"/>
  <c r="Z28" s="1"/>
  <c r="T28"/>
  <c r="Z27"/>
  <c r="Z30" s="1"/>
  <c r="Y27"/>
  <c r="T27"/>
  <c r="X25"/>
  <c r="W25"/>
  <c r="V25"/>
  <c r="U25"/>
  <c r="R25"/>
  <c r="O25"/>
  <c r="N25"/>
  <c r="Z24"/>
  <c r="Y24"/>
  <c r="T24"/>
  <c r="Y23"/>
  <c r="Z23" s="1"/>
  <c r="T23"/>
  <c r="Y22"/>
  <c r="Z22" s="1"/>
  <c r="T22"/>
  <c r="Y21"/>
  <c r="Z21" s="1"/>
  <c r="T21"/>
  <c r="Z20"/>
  <c r="Y20"/>
  <c r="T20"/>
  <c r="V18"/>
  <c r="Z17"/>
  <c r="Y17"/>
  <c r="T17"/>
  <c r="Y16"/>
  <c r="Z16" s="1"/>
  <c r="T16"/>
  <c r="Y15"/>
  <c r="Z15" s="1"/>
  <c r="T15"/>
  <c r="U14"/>
  <c r="Y14" s="1"/>
  <c r="Z14" s="1"/>
  <c r="R14"/>
  <c r="T14" s="1"/>
  <c r="O14"/>
  <c r="N14"/>
  <c r="Z13"/>
  <c r="Y13"/>
  <c r="T13"/>
  <c r="X12"/>
  <c r="W12"/>
  <c r="Y12" s="1"/>
  <c r="U12"/>
  <c r="T12"/>
  <c r="R12"/>
  <c r="P12"/>
  <c r="O12"/>
  <c r="N12"/>
  <c r="Y11"/>
  <c r="Z11" s="1"/>
  <c r="T11"/>
  <c r="X10"/>
  <c r="X18" s="1"/>
  <c r="W10"/>
  <c r="W18" s="1"/>
  <c r="W31" s="1"/>
  <c r="U10"/>
  <c r="R10"/>
  <c r="R18" s="1"/>
  <c r="P10"/>
  <c r="O10"/>
  <c r="O18" s="1"/>
  <c r="O31" s="1"/>
  <c r="N10"/>
  <c r="Z25" l="1"/>
  <c r="N18"/>
  <c r="N31" s="1"/>
  <c r="Y10"/>
  <c r="Y25"/>
  <c r="V31"/>
  <c r="N18" i="6"/>
  <c r="N14"/>
  <c r="O16"/>
  <c r="O12"/>
  <c r="N21"/>
  <c r="N24"/>
  <c r="N22"/>
  <c r="N17"/>
  <c r="N15"/>
  <c r="N13"/>
  <c r="N11"/>
  <c r="O11"/>
  <c r="Y18" i="7"/>
  <c r="X31"/>
  <c r="Z12"/>
  <c r="U18"/>
  <c r="U31" s="1"/>
  <c r="R31"/>
  <c r="Z10"/>
  <c r="T10"/>
  <c r="T29"/>
  <c r="Y29"/>
  <c r="Y30" s="1"/>
  <c r="Z18" l="1"/>
  <c r="Z31" s="1"/>
  <c r="Y31"/>
  <c r="S28" i="6" l="1"/>
  <c r="S20"/>
  <c r="S14"/>
  <c r="S13"/>
  <c r="S12"/>
  <c r="U29" i="5"/>
  <c r="T29"/>
  <c r="R29"/>
  <c r="R30" s="1"/>
  <c r="Q29"/>
  <c r="O29"/>
  <c r="O30" s="1"/>
  <c r="N29"/>
  <c r="N30" s="1"/>
  <c r="S28"/>
  <c r="Q28"/>
  <c r="Q30" s="1"/>
  <c r="S27"/>
  <c r="S30" s="1"/>
  <c r="O25"/>
  <c r="N25"/>
  <c r="V24"/>
  <c r="W24" s="1"/>
  <c r="S24"/>
  <c r="S23"/>
  <c r="R23" s="1"/>
  <c r="S22"/>
  <c r="V22" s="1"/>
  <c r="W22" s="1"/>
  <c r="V21"/>
  <c r="W21" s="1"/>
  <c r="S21"/>
  <c r="U20"/>
  <c r="U25" s="1"/>
  <c r="T20"/>
  <c r="T25" s="1"/>
  <c r="S20"/>
  <c r="S25" s="1"/>
  <c r="Q20"/>
  <c r="Q25" s="1"/>
  <c r="O18"/>
  <c r="N18"/>
  <c r="S17"/>
  <c r="V17" s="1"/>
  <c r="W17" s="1"/>
  <c r="Q17"/>
  <c r="S16"/>
  <c r="Q16"/>
  <c r="V15"/>
  <c r="W15" s="1"/>
  <c r="S15"/>
  <c r="V14"/>
  <c r="W14" s="1"/>
  <c r="Q14"/>
  <c r="U13"/>
  <c r="S13"/>
  <c r="V13"/>
  <c r="W13" s="1"/>
  <c r="Q13"/>
  <c r="U12"/>
  <c r="T12"/>
  <c r="S12"/>
  <c r="Q12"/>
  <c r="U11"/>
  <c r="V11" s="1"/>
  <c r="T11"/>
  <c r="S11"/>
  <c r="Q11"/>
  <c r="Q18" s="1"/>
  <c r="S10"/>
  <c r="S18" l="1"/>
  <c r="R18" s="1"/>
  <c r="N31"/>
  <c r="V29"/>
  <c r="S19" i="6"/>
  <c r="Q31" i="5"/>
  <c r="T18"/>
  <c r="O31"/>
  <c r="V23"/>
  <c r="W23" s="1"/>
  <c r="S31"/>
  <c r="V10"/>
  <c r="W11"/>
  <c r="V12"/>
  <c r="W12" s="1"/>
  <c r="R20"/>
  <c r="R25" s="1"/>
  <c r="T30"/>
  <c r="V27"/>
  <c r="W27" l="1"/>
  <c r="U30"/>
  <c r="V28"/>
  <c r="W28" s="1"/>
  <c r="W10"/>
  <c r="T31"/>
  <c r="R31"/>
  <c r="V16"/>
  <c r="W16" s="1"/>
  <c r="V20"/>
  <c r="U18"/>
  <c r="U31" l="1"/>
  <c r="V30"/>
  <c r="W20"/>
  <c r="W25" s="1"/>
  <c r="V25"/>
  <c r="V18"/>
  <c r="W18"/>
  <c r="W30"/>
  <c r="V31" l="1"/>
  <c r="W31"/>
</calcChain>
</file>

<file path=xl/sharedStrings.xml><?xml version="1.0" encoding="utf-8"?>
<sst xmlns="http://schemas.openxmlformats.org/spreadsheetml/2006/main" count="419" uniqueCount="146">
  <si>
    <t>№ п/п</t>
  </si>
  <si>
    <t>№ ДОО, Школы, ЦДТ</t>
  </si>
  <si>
    <t>Название ОО,ОФ</t>
  </si>
  <si>
    <t>Наименование банка</t>
  </si>
  <si>
    <t>Кол-во детей,    учащихся</t>
  </si>
  <si>
    <t>Кол-во членов ОО,ОФ</t>
  </si>
  <si>
    <t>Ф.И.О председателя</t>
  </si>
  <si>
    <t xml:space="preserve"> указать где ведется учет приобретенных основных средств за средства общественного фонда и объединения </t>
  </si>
  <si>
    <t>Вступительные взносы</t>
  </si>
  <si>
    <t>спосорская помощь</t>
  </si>
  <si>
    <t>ежемесячные взносы</t>
  </si>
  <si>
    <t>Доплата сотрудникам и п/налог с отч.в соц.фонд отдельно показать</t>
  </si>
  <si>
    <t>На ремонт здания( текущий, капитальный ремонт)</t>
  </si>
  <si>
    <t>мебель, оргтехника,оборудование</t>
  </si>
  <si>
    <t>мыломющие средства,хоз.товары,канц.товары</t>
  </si>
  <si>
    <t>прочие услуги(интернет,транспорт,санитарные,чистка канализации</t>
  </si>
  <si>
    <t>материальная,спонсорская помощь(премии,поощрения)</t>
  </si>
  <si>
    <t xml:space="preserve">Оперативные сведения по поступившим  финансовым средствам  от  ОФ  школ </t>
  </si>
  <si>
    <t>Октябрьскогго района    за 10 месяцев 2018 года</t>
  </si>
  <si>
    <t xml:space="preserve">                                                                 </t>
  </si>
  <si>
    <t>№п/п</t>
  </si>
  <si>
    <t>Школа №№</t>
  </si>
  <si>
    <t>Название ОО. ОФ</t>
  </si>
  <si>
    <t>Кол-во учеников</t>
  </si>
  <si>
    <t>Кол-во членов ОФ</t>
  </si>
  <si>
    <t>Сумма ежемесячного взноса</t>
  </si>
  <si>
    <t>Поступившие деньги за 10 месяцев</t>
  </si>
  <si>
    <t xml:space="preserve">Расходы </t>
  </si>
  <si>
    <t>Всего расходы за 2019 год по поступившим средствам от общественного фонда школ за 10 месяцев</t>
  </si>
  <si>
    <t>Остаток за 2017 год</t>
  </si>
  <si>
    <t>Доплата сотрудникам</t>
  </si>
  <si>
    <t>Охрана</t>
  </si>
  <si>
    <t>Развитие школы (ремонт , реконструкция кабинетов, рекреаций, приобретение технических средств охраны, мебели, методики и прочее)</t>
  </si>
  <si>
    <t>Хоз нужды</t>
  </si>
  <si>
    <t>И по трудовому договору (соц фонд, подох налог)</t>
  </si>
  <si>
    <t>(подписка на газету, приобретение мыло- моющих средств, замена ламп, электропроводов, услуги транспорта, чистка канализации, приобретение конц таваров, воды, ремонтные работы технических средств охраны и прочее)</t>
  </si>
  <si>
    <t>Статусные школы</t>
  </si>
  <si>
    <t>1.         </t>
  </si>
  <si>
    <t xml:space="preserve">УВК№17       </t>
  </si>
  <si>
    <t xml:space="preserve"> ОО "Пушкинист "</t>
  </si>
  <si>
    <t>БТА банк</t>
  </si>
  <si>
    <t>Дюшалиев Б.К</t>
  </si>
  <si>
    <t>2.         </t>
  </si>
  <si>
    <t>УВК№ 20</t>
  </si>
  <si>
    <t xml:space="preserve"> ОО "Школярия"</t>
  </si>
  <si>
    <t xml:space="preserve">РСК банк </t>
  </si>
  <si>
    <t>Дунганова Н.Б</t>
  </si>
  <si>
    <t>100-200-300-400</t>
  </si>
  <si>
    <t>3.         </t>
  </si>
  <si>
    <t>ГК №26</t>
  </si>
  <si>
    <t xml:space="preserve"> ОО "Жаш Курак"</t>
  </si>
  <si>
    <t>Мухамедова Т.Р</t>
  </si>
  <si>
    <t>4.         </t>
  </si>
  <si>
    <t>Шг№ 37</t>
  </si>
  <si>
    <t>ОО ОПР ШГ № 37</t>
  </si>
  <si>
    <t>Исмаилова Г.А</t>
  </si>
  <si>
    <t>100-500</t>
  </si>
  <si>
    <t>5.         </t>
  </si>
  <si>
    <t>ШГ№ 39</t>
  </si>
  <si>
    <t xml:space="preserve"> ОО "Мектеп тиреги"</t>
  </si>
  <si>
    <t>KICB банк</t>
  </si>
  <si>
    <t>Махмудов Э</t>
  </si>
  <si>
    <t>6.         </t>
  </si>
  <si>
    <t>УВК №62</t>
  </si>
  <si>
    <t xml:space="preserve"> ОО "Жактан"</t>
  </si>
  <si>
    <t>ХБК-ЮГ банк</t>
  </si>
  <si>
    <t>Куницкая Н.А</t>
  </si>
  <si>
    <t>200-400</t>
  </si>
  <si>
    <t>7.         </t>
  </si>
  <si>
    <t>Шг 63</t>
  </si>
  <si>
    <t xml:space="preserve"> ОО "Алтын Мектебим"</t>
  </si>
  <si>
    <t>Кыдырмышев К.К</t>
  </si>
  <si>
    <t>8.         </t>
  </si>
  <si>
    <t xml:space="preserve">Шг 64 </t>
  </si>
  <si>
    <t xml:space="preserve"> ОО "Попечители СОШ №64"</t>
  </si>
  <si>
    <t>Турганбаева З.А</t>
  </si>
  <si>
    <t xml:space="preserve">Итого </t>
  </si>
  <si>
    <t>Общеобразовательные организации</t>
  </si>
  <si>
    <t>9.         </t>
  </si>
  <si>
    <t>Сш 3</t>
  </si>
  <si>
    <t>ОО ОПР СШ № 3</t>
  </si>
  <si>
    <t>ЭкоИслам банк</t>
  </si>
  <si>
    <t>Курманова А.А</t>
  </si>
  <si>
    <t>10.      </t>
  </si>
  <si>
    <t>Сш 14</t>
  </si>
  <si>
    <t>БФП СОШ №14</t>
  </si>
  <si>
    <t>ЗАО Демир банк</t>
  </si>
  <si>
    <t>Папов С.Г</t>
  </si>
  <si>
    <t>11.      </t>
  </si>
  <si>
    <t>Сш№ 56</t>
  </si>
  <si>
    <t xml:space="preserve"> ОО "Попечители СОШ №56"</t>
  </si>
  <si>
    <t>Мадаминова Г</t>
  </si>
  <si>
    <t>12.      </t>
  </si>
  <si>
    <t>Сш№ 60</t>
  </si>
  <si>
    <t xml:space="preserve">ОО « ТУРГУЗУУ»  </t>
  </si>
  <si>
    <t>Халык банк</t>
  </si>
  <si>
    <t>Коваленка С.А</t>
  </si>
  <si>
    <t>13.      </t>
  </si>
  <si>
    <t>Сш №73</t>
  </si>
  <si>
    <t xml:space="preserve"> ОО "Билим Уясы"</t>
  </si>
  <si>
    <t>KICB</t>
  </si>
  <si>
    <t>Павлова Л.Г</t>
  </si>
  <si>
    <t>Школы жилых массивов</t>
  </si>
  <si>
    <t>Сш №88</t>
  </si>
  <si>
    <t xml:space="preserve"> ОО "Алга Кок Жар "</t>
  </si>
  <si>
    <t>Ыдыросова Н.А</t>
  </si>
  <si>
    <t>ШГ№91</t>
  </si>
  <si>
    <t xml:space="preserve"> ОО "Алинур "</t>
  </si>
  <si>
    <t>Турдукожоева Б.Б</t>
  </si>
  <si>
    <t>ЦДТ</t>
  </si>
  <si>
    <t>ОО"За будущее поколение"</t>
  </si>
  <si>
    <t>Яковлева Л.В</t>
  </si>
  <si>
    <t xml:space="preserve">Всего </t>
  </si>
  <si>
    <t>Исполнитель:Алмаз у И .тел 57 70 82</t>
  </si>
  <si>
    <t>Директор ЦООР                                                                                                 Алжанбаева К.Ж</t>
  </si>
  <si>
    <t>Гл.Бухгалтер                                                                                                         Тентимишева А.</t>
  </si>
  <si>
    <t>-</t>
  </si>
  <si>
    <t xml:space="preserve">Сведения по поступившим финансовым средствам от ОФ и ОО по  Школам и ЦДТ </t>
  </si>
  <si>
    <t>Октябрьскогго района    за  2017 год</t>
  </si>
  <si>
    <t>остаток</t>
  </si>
  <si>
    <t>Поступившие деньги за 2017 месяцев</t>
  </si>
  <si>
    <t>остаток + поступившие деньги за 2017г</t>
  </si>
  <si>
    <t>Всего расходы за 2017 год по поступившим средствам от общественного фонда школ</t>
  </si>
  <si>
    <t>100-400</t>
  </si>
  <si>
    <t xml:space="preserve">                                                                                                                                Гл.Бухгалтер                                                                                                         Тентимишева А.</t>
  </si>
  <si>
    <t>Всего поступило за 2017 год</t>
  </si>
  <si>
    <t>Поступление  суммы взноса(сом)за 2017 год</t>
  </si>
  <si>
    <t>Расходы за 2017 (тыс.сом)</t>
  </si>
  <si>
    <t xml:space="preserve">                        за 2017 год по каждой образовательной организации</t>
  </si>
  <si>
    <t>Всего поступило за первый квартал</t>
  </si>
  <si>
    <t>Поступление  суммы взноса(сом)за первый квартал 2019года</t>
  </si>
  <si>
    <t>Расходы за первый квартал 2019 года (тыс.сом)</t>
  </si>
  <si>
    <t>нет</t>
  </si>
  <si>
    <t>добровольные пожертвования</t>
  </si>
  <si>
    <t>мыломющие средства,хоз.товары,канц.товары, медикаменты</t>
  </si>
  <si>
    <t>прочие услуги(интернет,транспорт,санитарные,чистка канализации, охрана зданий</t>
  </si>
  <si>
    <t>СДОО № 134</t>
  </si>
  <si>
    <t xml:space="preserve"> ОО "Разумейка "</t>
  </si>
  <si>
    <t>Коньшин А.Н.</t>
  </si>
  <si>
    <t xml:space="preserve"> от 500 по возможности</t>
  </si>
  <si>
    <t>Бухгалтерии ОО "Разумейка" в пользовании СДОО № 134</t>
  </si>
  <si>
    <t>Директор ОО "Разумейка"                                                                                                      Коньшин А.Н.</t>
  </si>
  <si>
    <t>РСК Банк</t>
  </si>
  <si>
    <t xml:space="preserve">                        за третий  квартал 2019года по каждой образовательной организации</t>
  </si>
  <si>
    <t>Доплата,з\п сотрудникам и п/налог с отч.в соц.фонд отдельно показать</t>
  </si>
  <si>
    <t xml:space="preserve">23490 подоходный-2610 соц.фонд  7902,5  </t>
  </si>
</sst>
</file>

<file path=xl/styles.xml><?xml version="1.0" encoding="utf-8"?>
<styleSheet xmlns="http://schemas.openxmlformats.org/spreadsheetml/2006/main">
  <numFmts count="2">
    <numFmt numFmtId="164" formatCode="0.0"/>
    <numFmt numFmtId="165" formatCode="#,##0.0"/>
  </numFmts>
  <fonts count="2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name val="Times New Roman"/>
      <family val="1"/>
      <charset val="204"/>
    </font>
    <font>
      <b/>
      <sz val="8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19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4" fillId="0" borderId="0" xfId="0" applyFont="1" applyAlignment="1">
      <alignment horizontal="center"/>
    </xf>
    <xf numFmtId="0" fontId="5" fillId="0" borderId="0" xfId="0" applyFont="1"/>
    <xf numFmtId="0" fontId="8" fillId="0" borderId="0" xfId="0" applyFont="1"/>
    <xf numFmtId="0" fontId="4" fillId="0" borderId="0" xfId="0" applyFont="1" applyBorder="1" applyAlignment="1"/>
    <xf numFmtId="0" fontId="8" fillId="0" borderId="0" xfId="0" applyFont="1" applyBorder="1"/>
    <xf numFmtId="0" fontId="4" fillId="0" borderId="0" xfId="0" applyFont="1"/>
    <xf numFmtId="0" fontId="9" fillId="0" borderId="0" xfId="0" applyFont="1"/>
    <xf numFmtId="0" fontId="10" fillId="0" borderId="0" xfId="0" applyFont="1" applyBorder="1" applyAlignment="1"/>
    <xf numFmtId="0" fontId="6" fillId="0" borderId="0" xfId="0" applyFont="1" applyBorder="1" applyAlignment="1"/>
    <xf numFmtId="0" fontId="11" fillId="0" borderId="0" xfId="0" applyFont="1" applyBorder="1" applyAlignment="1"/>
    <xf numFmtId="0" fontId="3" fillId="0" borderId="1" xfId="0" applyFont="1" applyBorder="1" applyAlignment="1"/>
    <xf numFmtId="0" fontId="6" fillId="0" borderId="1" xfId="0" applyFont="1" applyBorder="1" applyAlignment="1"/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Fill="1" applyBorder="1" applyAlignment="1">
      <alignment vertical="center" wrapText="1"/>
    </xf>
    <xf numFmtId="0" fontId="0" fillId="0" borderId="7" xfId="0" applyBorder="1"/>
    <xf numFmtId="0" fontId="13" fillId="0" borderId="7" xfId="0" applyFont="1" applyBorder="1" applyAlignment="1">
      <alignment horizontal="center" vertical="center" wrapText="1"/>
    </xf>
    <xf numFmtId="164" fontId="13" fillId="0" borderId="7" xfId="0" applyNumberFormat="1" applyFont="1" applyBorder="1" applyAlignment="1">
      <alignment horizontal="center" vertical="center" wrapText="1"/>
    </xf>
    <xf numFmtId="0" fontId="14" fillId="0" borderId="0" xfId="0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15" fillId="0" borderId="7" xfId="0" applyFont="1" applyBorder="1" applyAlignment="1">
      <alignment horizontal="center" vertical="top" wrapText="1"/>
    </xf>
    <xf numFmtId="0" fontId="15" fillId="2" borderId="7" xfId="0" applyFont="1" applyFill="1" applyBorder="1" applyAlignment="1">
      <alignment horizontal="left" vertical="center" wrapText="1"/>
    </xf>
    <xf numFmtId="0" fontId="15" fillId="2" borderId="7" xfId="0" applyFont="1" applyFill="1" applyBorder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4" fontId="3" fillId="0" borderId="7" xfId="0" applyNumberFormat="1" applyFont="1" applyBorder="1" applyAlignment="1">
      <alignment horizontal="center"/>
    </xf>
    <xf numFmtId="4" fontId="3" fillId="0" borderId="7" xfId="0" applyNumberFormat="1" applyFont="1" applyBorder="1" applyAlignment="1">
      <alignment horizontal="center" wrapText="1"/>
    </xf>
    <xf numFmtId="0" fontId="16" fillId="2" borderId="7" xfId="0" applyFont="1" applyFill="1" applyBorder="1" applyAlignment="1">
      <alignment horizontal="center" vertical="center" wrapText="1"/>
    </xf>
    <xf numFmtId="4" fontId="16" fillId="2" borderId="7" xfId="0" applyNumberFormat="1" applyFont="1" applyFill="1" applyBorder="1" applyAlignment="1">
      <alignment horizontal="center" vertical="center" wrapText="1"/>
    </xf>
    <xf numFmtId="3" fontId="16" fillId="2" borderId="7" xfId="0" applyNumberFormat="1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left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4" fontId="16" fillId="0" borderId="7" xfId="0" applyNumberFormat="1" applyFont="1" applyFill="1" applyBorder="1" applyAlignment="1">
      <alignment horizontal="center" vertical="center" wrapText="1"/>
    </xf>
    <xf numFmtId="4" fontId="16" fillId="0" borderId="2" xfId="0" applyNumberFormat="1" applyFont="1" applyFill="1" applyBorder="1" applyAlignment="1">
      <alignment horizontal="center" vertical="center" wrapText="1"/>
    </xf>
    <xf numFmtId="164" fontId="16" fillId="0" borderId="7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3" fontId="16" fillId="0" borderId="7" xfId="0" applyNumberFormat="1" applyFont="1" applyFill="1" applyBorder="1" applyAlignment="1">
      <alignment horizontal="center" vertical="center" wrapText="1"/>
    </xf>
    <xf numFmtId="0" fontId="0" fillId="2" borderId="0" xfId="0" applyFill="1"/>
    <xf numFmtId="4" fontId="17" fillId="0" borderId="7" xfId="0" applyNumberFormat="1" applyFont="1" applyBorder="1" applyAlignment="1">
      <alignment horizontal="center"/>
    </xf>
    <xf numFmtId="4" fontId="17" fillId="0" borderId="7" xfId="0" applyNumberFormat="1" applyFont="1" applyBorder="1" applyAlignment="1">
      <alignment horizontal="center" wrapText="1"/>
    </xf>
    <xf numFmtId="4" fontId="15" fillId="0" borderId="7" xfId="0" applyNumberFormat="1" applyFont="1" applyFill="1" applyBorder="1" applyAlignment="1">
      <alignment horizontal="center" vertical="center" wrapText="1"/>
    </xf>
    <xf numFmtId="4" fontId="15" fillId="2" borderId="7" xfId="0" applyNumberFormat="1" applyFont="1" applyFill="1" applyBorder="1" applyAlignment="1">
      <alignment horizontal="center" vertical="center" wrapText="1"/>
    </xf>
    <xf numFmtId="164" fontId="15" fillId="0" borderId="7" xfId="0" applyNumberFormat="1" applyFont="1" applyFill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top" wrapText="1"/>
    </xf>
    <xf numFmtId="165" fontId="16" fillId="0" borderId="7" xfId="0" applyNumberFormat="1" applyFont="1" applyFill="1" applyBorder="1" applyAlignment="1">
      <alignment horizontal="center" vertical="center" wrapText="1"/>
    </xf>
    <xf numFmtId="0" fontId="15" fillId="2" borderId="2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15" fillId="0" borderId="7" xfId="0" applyFont="1" applyBorder="1" applyAlignment="1">
      <alignment horizontal="left" vertical="center" wrapText="1"/>
    </xf>
    <xf numFmtId="0" fontId="15" fillId="0" borderId="7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4" fontId="16" fillId="0" borderId="7" xfId="0" applyNumberFormat="1" applyFont="1" applyBorder="1" applyAlignment="1">
      <alignment horizontal="center" vertical="center" wrapText="1"/>
    </xf>
    <xf numFmtId="4" fontId="15" fillId="0" borderId="7" xfId="0" applyNumberFormat="1" applyFont="1" applyBorder="1" applyAlignment="1">
      <alignment horizontal="center" vertical="center" wrapText="1"/>
    </xf>
    <xf numFmtId="3" fontId="15" fillId="0" borderId="7" xfId="0" applyNumberFormat="1" applyFont="1" applyBorder="1" applyAlignment="1">
      <alignment horizontal="center" vertical="center" wrapText="1"/>
    </xf>
    <xf numFmtId="164" fontId="15" fillId="0" borderId="7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4" fontId="0" fillId="0" borderId="0" xfId="0" applyNumberFormat="1"/>
    <xf numFmtId="0" fontId="16" fillId="2" borderId="2" xfId="0" applyFont="1" applyFill="1" applyBorder="1" applyAlignment="1">
      <alignment horizontal="center" vertical="center" wrapText="1"/>
    </xf>
    <xf numFmtId="1" fontId="16" fillId="0" borderId="7" xfId="0" applyNumberFormat="1" applyFont="1" applyFill="1" applyBorder="1" applyAlignment="1">
      <alignment horizontal="center" vertical="center" wrapText="1"/>
    </xf>
    <xf numFmtId="4" fontId="0" fillId="0" borderId="0" xfId="0" applyNumberFormat="1" applyAlignment="1">
      <alignment wrapText="1"/>
    </xf>
    <xf numFmtId="0" fontId="0" fillId="0" borderId="0" xfId="0" applyBorder="1" applyAlignment="1">
      <alignment horizontal="center" wrapText="1"/>
    </xf>
    <xf numFmtId="0" fontId="3" fillId="0" borderId="0" xfId="0" applyFont="1" applyAlignment="1">
      <alignment horizontal="left"/>
    </xf>
    <xf numFmtId="0" fontId="0" fillId="0" borderId="0" xfId="0" applyAlignment="1"/>
    <xf numFmtId="0" fontId="15" fillId="0" borderId="7" xfId="0" applyFont="1" applyFill="1" applyBorder="1" applyAlignment="1">
      <alignment horizontal="center" vertical="center" wrapText="1"/>
    </xf>
    <xf numFmtId="0" fontId="0" fillId="0" borderId="7" xfId="0" applyFill="1" applyBorder="1"/>
    <xf numFmtId="0" fontId="14" fillId="0" borderId="7" xfId="0" applyFont="1" applyFill="1" applyBorder="1" applyAlignment="1">
      <alignment wrapText="1"/>
    </xf>
    <xf numFmtId="4" fontId="3" fillId="0" borderId="7" xfId="0" applyNumberFormat="1" applyFont="1" applyFill="1" applyBorder="1" applyAlignment="1">
      <alignment horizontal="center"/>
    </xf>
    <xf numFmtId="4" fontId="3" fillId="0" borderId="7" xfId="0" applyNumberFormat="1" applyFont="1" applyFill="1" applyBorder="1" applyAlignment="1">
      <alignment horizontal="center" wrapText="1"/>
    </xf>
    <xf numFmtId="0" fontId="13" fillId="0" borderId="7" xfId="0" applyFont="1" applyFill="1" applyBorder="1" applyAlignment="1">
      <alignment horizontal="center" vertical="center" wrapText="1"/>
    </xf>
    <xf numFmtId="164" fontId="13" fillId="0" borderId="7" xfId="0" applyNumberFormat="1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164" fontId="19" fillId="0" borderId="7" xfId="0" applyNumberFormat="1" applyFont="1" applyFill="1" applyBorder="1" applyAlignment="1">
      <alignment horizontal="center" vertical="center" wrapText="1"/>
    </xf>
    <xf numFmtId="164" fontId="19" fillId="2" borderId="7" xfId="0" applyNumberFormat="1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9" fontId="16" fillId="0" borderId="7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5" fillId="0" borderId="7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8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7" xfId="0" applyFont="1" applyBorder="1" applyAlignment="1">
      <alignment horizontal="center" vertical="top" wrapText="1"/>
    </xf>
    <xf numFmtId="0" fontId="14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/>
    </xf>
    <xf numFmtId="0" fontId="15" fillId="0" borderId="7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18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 wrapText="1"/>
    </xf>
    <xf numFmtId="0" fontId="12" fillId="0" borderId="3" xfId="0" applyFont="1" applyBorder="1" applyAlignment="1">
      <alignment horizontal="center" vertical="top" wrapText="1"/>
    </xf>
    <xf numFmtId="0" fontId="12" fillId="0" borderId="4" xfId="0" applyFont="1" applyBorder="1" applyAlignment="1">
      <alignment horizontal="center" vertical="top" wrapText="1"/>
    </xf>
    <xf numFmtId="0" fontId="12" fillId="0" borderId="5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2" fillId="0" borderId="2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20" fillId="0" borderId="4" xfId="0" applyFont="1" applyFill="1" applyBorder="1" applyAlignment="1">
      <alignment horizontal="center" vertical="center" wrapText="1"/>
    </xf>
    <xf numFmtId="0" fontId="20" fillId="0" borderId="5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90;&#1095;&#1077;&#1090;%20&#1062;&#1044;&#1058;%20201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7;&#1064;%20&#1054;&#1060;%202017&#1075;&#1086;&#1076;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Users/opa/Desktop/&#1080;&#1083;&#1100;&#1103;&#1089;%20&#1088;&#1072;&#1073;&#1086;&#1090;&#1072;%20123/&#1089;&#1090;&#1072;&#1088;&#1099;&#1077;%20&#1076;&#1072;&#1085;&#1085;&#1099;&#1077;/&#1086;&#1090;&#1095;&#1077;&#1090;%20&#1062;&#1044;&#1058;%20201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О За бп"/>
      <sheetName val="Лист3"/>
    </sheetNames>
    <sheetDataSet>
      <sheetData sheetId="0" refreshError="1">
        <row r="32">
          <cell r="E32">
            <v>4262</v>
          </cell>
          <cell r="F32">
            <v>280</v>
          </cell>
          <cell r="H32">
            <v>1315340</v>
          </cell>
          <cell r="K32">
            <v>409600</v>
          </cell>
          <cell r="L32">
            <v>781420</v>
          </cell>
          <cell r="M32">
            <v>165700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 refreshError="1">
        <row r="11">
          <cell r="J11">
            <v>2052</v>
          </cell>
          <cell r="K11">
            <v>1500</v>
          </cell>
          <cell r="L11">
            <v>250</v>
          </cell>
          <cell r="M11">
            <v>6907866.3399999999</v>
          </cell>
          <cell r="N11">
            <v>5223169.9400000004</v>
          </cell>
          <cell r="O11">
            <v>2021901</v>
          </cell>
          <cell r="P11">
            <v>174047</v>
          </cell>
        </row>
        <row r="15">
          <cell r="J15">
            <v>1962</v>
          </cell>
          <cell r="K15">
            <v>1728</v>
          </cell>
          <cell r="L15">
            <v>450</v>
          </cell>
          <cell r="M15">
            <v>8311900</v>
          </cell>
          <cell r="N15">
            <v>4629800</v>
          </cell>
          <cell r="O15">
            <v>2024800</v>
          </cell>
          <cell r="P15">
            <v>1720900</v>
          </cell>
        </row>
        <row r="18">
          <cell r="J18">
            <v>756</v>
          </cell>
          <cell r="K18">
            <v>756</v>
          </cell>
          <cell r="M18">
            <v>1084630</v>
          </cell>
          <cell r="N18">
            <v>395495</v>
          </cell>
        </row>
      </sheetData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О За бп"/>
      <sheetName val="Лист3"/>
    </sheetNames>
    <sheetDataSet>
      <sheetData sheetId="0" refreshError="1">
        <row r="32">
          <cell r="E32">
            <v>4262</v>
          </cell>
          <cell r="F32">
            <v>280</v>
          </cell>
        </row>
      </sheetData>
      <sheetData sheetId="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39"/>
  <sheetViews>
    <sheetView topLeftCell="I30" workbookViewId="0">
      <selection activeCell="I33" sqref="I33:P33"/>
    </sheetView>
  </sheetViews>
  <sheetFormatPr defaultRowHeight="15"/>
  <cols>
    <col min="1" max="1" width="0.42578125" customWidth="1"/>
    <col min="2" max="2" width="9.140625" hidden="1" customWidth="1"/>
    <col min="3" max="3" width="0.140625" hidden="1" customWidth="1"/>
    <col min="4" max="6" width="9.140625" hidden="1" customWidth="1"/>
    <col min="7" max="7" width="0.5703125" hidden="1" customWidth="1"/>
    <col min="8" max="8" width="1.85546875" customWidth="1"/>
    <col min="9" max="9" width="4.85546875" customWidth="1"/>
    <col min="11" max="11" width="12.42578125" customWidth="1"/>
    <col min="12" max="12" width="11.140625" customWidth="1"/>
    <col min="13" max="13" width="11.7109375" customWidth="1"/>
    <col min="15" max="15" width="9.140625" customWidth="1"/>
    <col min="16" max="16" width="14" customWidth="1"/>
    <col min="17" max="17" width="14.7109375" customWidth="1"/>
    <col min="18" max="19" width="15.28515625" customWidth="1"/>
    <col min="20" max="20" width="21.28515625" customWidth="1"/>
    <col min="21" max="21" width="28.7109375" customWidth="1"/>
    <col min="22" max="22" width="16.42578125" customWidth="1"/>
    <col min="23" max="23" width="16.42578125" hidden="1" customWidth="1"/>
    <col min="24" max="24" width="11.85546875" customWidth="1"/>
    <col min="25" max="25" width="11.42578125" bestFit="1" customWidth="1"/>
    <col min="26" max="26" width="11.28515625" customWidth="1"/>
    <col min="27" max="27" width="12.85546875" customWidth="1"/>
  </cols>
  <sheetData>
    <row r="1" spans="2:29" ht="27.75" customHeight="1">
      <c r="I1" s="82" t="s">
        <v>17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Y1" s="22"/>
      <c r="Z1" s="22"/>
    </row>
    <row r="2" spans="2:29" ht="25.5" customHeight="1">
      <c r="I2" s="4"/>
      <c r="J2" s="9"/>
      <c r="K2" s="9"/>
      <c r="L2" s="9"/>
      <c r="M2" s="9"/>
      <c r="N2" s="9"/>
      <c r="O2" s="82" t="s">
        <v>18</v>
      </c>
      <c r="P2" s="82"/>
      <c r="Q2" s="82"/>
      <c r="R2" s="82"/>
      <c r="S2" s="82"/>
      <c r="T2" s="82"/>
      <c r="U2" s="82"/>
      <c r="V2" s="9"/>
      <c r="W2" s="9"/>
      <c r="Y2" s="22"/>
      <c r="Z2" s="22"/>
    </row>
    <row r="3" spans="2:29" ht="18.75" customHeight="1">
      <c r="I3" s="22"/>
      <c r="O3" s="83" t="s">
        <v>19</v>
      </c>
      <c r="P3" s="83"/>
      <c r="Q3" s="83"/>
      <c r="R3" s="83"/>
      <c r="S3" s="83"/>
      <c r="T3" s="83"/>
      <c r="U3" s="83"/>
      <c r="V3" s="83"/>
      <c r="Y3" s="22"/>
      <c r="Z3" s="22"/>
    </row>
    <row r="4" spans="2:29" ht="5.25" hidden="1" customHeight="1" thickBot="1">
      <c r="J4" s="22"/>
      <c r="K4" s="22"/>
      <c r="L4" s="22"/>
      <c r="M4" s="22"/>
      <c r="N4" s="22"/>
      <c r="O4" s="22"/>
      <c r="P4" s="22"/>
      <c r="Q4" s="23"/>
      <c r="R4" s="22"/>
      <c r="S4" s="22"/>
      <c r="T4" s="22"/>
      <c r="U4" s="22"/>
      <c r="V4" s="22"/>
      <c r="W4" s="22"/>
    </row>
    <row r="5" spans="2:29" ht="23.25" hidden="1" customHeight="1" thickBot="1">
      <c r="I5" s="23"/>
    </row>
    <row r="6" spans="2:29" ht="27" customHeight="1">
      <c r="I6" s="84" t="s">
        <v>20</v>
      </c>
      <c r="J6" s="84" t="s">
        <v>21</v>
      </c>
      <c r="K6" s="85" t="s">
        <v>22</v>
      </c>
      <c r="L6" s="85" t="s">
        <v>3</v>
      </c>
      <c r="M6" s="85" t="s">
        <v>6</v>
      </c>
      <c r="N6" s="84" t="s">
        <v>23</v>
      </c>
      <c r="O6" s="84" t="s">
        <v>24</v>
      </c>
      <c r="P6" s="84" t="s">
        <v>25</v>
      </c>
      <c r="Q6" s="84" t="s">
        <v>26</v>
      </c>
      <c r="R6" s="88" t="s">
        <v>27</v>
      </c>
      <c r="S6" s="88"/>
      <c r="T6" s="88"/>
      <c r="U6" s="88"/>
      <c r="V6" s="85" t="s">
        <v>28</v>
      </c>
      <c r="W6" s="85" t="s">
        <v>29</v>
      </c>
    </row>
    <row r="7" spans="2:29" ht="25.5">
      <c r="I7" s="84"/>
      <c r="J7" s="84"/>
      <c r="K7" s="86"/>
      <c r="L7" s="86"/>
      <c r="M7" s="86"/>
      <c r="N7" s="84"/>
      <c r="O7" s="84"/>
      <c r="P7" s="84"/>
      <c r="Q7" s="84"/>
      <c r="R7" s="24" t="s">
        <v>30</v>
      </c>
      <c r="S7" s="24" t="s">
        <v>31</v>
      </c>
      <c r="T7" s="88" t="s">
        <v>32</v>
      </c>
      <c r="U7" s="24" t="s">
        <v>33</v>
      </c>
      <c r="V7" s="86"/>
      <c r="W7" s="86"/>
    </row>
    <row r="8" spans="2:29" ht="98.25" customHeight="1">
      <c r="I8" s="84"/>
      <c r="J8" s="84"/>
      <c r="K8" s="87"/>
      <c r="L8" s="87"/>
      <c r="M8" s="87"/>
      <c r="N8" s="84"/>
      <c r="O8" s="84"/>
      <c r="P8" s="84"/>
      <c r="Q8" s="84"/>
      <c r="R8" s="24" t="s">
        <v>34</v>
      </c>
      <c r="S8" s="24"/>
      <c r="T8" s="88"/>
      <c r="U8" s="24" t="s">
        <v>35</v>
      </c>
      <c r="V8" s="87"/>
      <c r="W8" s="87"/>
    </row>
    <row r="9" spans="2:29" ht="15.75" customHeight="1">
      <c r="I9" s="88" t="s">
        <v>36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</row>
    <row r="10" spans="2:29" ht="33.950000000000003" customHeight="1">
      <c r="I10" s="25" t="s">
        <v>37</v>
      </c>
      <c r="J10" s="26" t="s">
        <v>38</v>
      </c>
      <c r="K10" s="27" t="s">
        <v>39</v>
      </c>
      <c r="L10" s="28" t="s">
        <v>40</v>
      </c>
      <c r="M10" s="29" t="s">
        <v>41</v>
      </c>
      <c r="N10" s="30">
        <v>2047</v>
      </c>
      <c r="O10" s="30">
        <v>1846</v>
      </c>
      <c r="P10" s="30">
        <v>250</v>
      </c>
      <c r="Q10" s="31">
        <v>3551015.09</v>
      </c>
      <c r="R10" s="31">
        <v>1190406</v>
      </c>
      <c r="S10" s="31">
        <f>23000*10</f>
        <v>230000</v>
      </c>
      <c r="T10" s="31">
        <v>710203</v>
      </c>
      <c r="U10" s="31">
        <v>1420406</v>
      </c>
      <c r="V10" s="31">
        <f t="shared" ref="V10:V11" si="0">R10+T10+U10</f>
        <v>3321015</v>
      </c>
      <c r="W10" s="32">
        <f>Q10-V10</f>
        <v>230000.08999999985</v>
      </c>
    </row>
    <row r="11" spans="2:29" ht="33.950000000000003" customHeight="1">
      <c r="I11" s="33" t="s">
        <v>42</v>
      </c>
      <c r="J11" s="34" t="s">
        <v>43</v>
      </c>
      <c r="K11" s="27" t="s">
        <v>44</v>
      </c>
      <c r="L11" s="29" t="s">
        <v>45</v>
      </c>
      <c r="M11" s="29" t="s">
        <v>46</v>
      </c>
      <c r="N11" s="35">
        <v>1650</v>
      </c>
      <c r="O11" s="35">
        <v>900</v>
      </c>
      <c r="P11" s="35" t="s">
        <v>47</v>
      </c>
      <c r="Q11" s="36">
        <f>1046162+339210</f>
        <v>1385372</v>
      </c>
      <c r="R11" s="31">
        <v>344287</v>
      </c>
      <c r="S11" s="31">
        <f>23000*10</f>
        <v>230000</v>
      </c>
      <c r="T11" s="36">
        <f>247535+141530</f>
        <v>389065</v>
      </c>
      <c r="U11" s="36">
        <f>48481+477391</f>
        <v>525872</v>
      </c>
      <c r="V11" s="37">
        <f t="shared" si="0"/>
        <v>1259224</v>
      </c>
      <c r="W11" s="38">
        <f>Q11-V11</f>
        <v>126148</v>
      </c>
    </row>
    <row r="12" spans="2:29" ht="33.950000000000003" customHeight="1">
      <c r="I12" s="33" t="s">
        <v>48</v>
      </c>
      <c r="J12" s="34" t="s">
        <v>49</v>
      </c>
      <c r="K12" s="27" t="s">
        <v>50</v>
      </c>
      <c r="L12" s="28" t="s">
        <v>45</v>
      </c>
      <c r="M12" s="29" t="s">
        <v>51</v>
      </c>
      <c r="N12" s="35">
        <v>1958</v>
      </c>
      <c r="O12" s="35">
        <v>1746</v>
      </c>
      <c r="P12" s="35">
        <v>450</v>
      </c>
      <c r="Q12" s="36">
        <f>1300460+826388</f>
        <v>2126848</v>
      </c>
      <c r="R12" s="31">
        <v>735939</v>
      </c>
      <c r="S12" s="31">
        <f t="shared" ref="S12:S16" si="1">23000*10</f>
        <v>230000</v>
      </c>
      <c r="T12" s="36">
        <f>385308.2+129132</f>
        <v>514440.2</v>
      </c>
      <c r="U12" s="36">
        <f>97710+99552+135885</f>
        <v>333147</v>
      </c>
      <c r="V12" s="36">
        <f>SUM(R12:U12)</f>
        <v>1813526.2</v>
      </c>
      <c r="W12" s="35">
        <f>Q12-V12</f>
        <v>313321.80000000005</v>
      </c>
      <c r="X12" s="39"/>
      <c r="Y12" s="39"/>
      <c r="Z12" s="39"/>
      <c r="AA12" s="39"/>
      <c r="AB12" s="39"/>
      <c r="AC12" s="39"/>
    </row>
    <row r="13" spans="2:29" ht="33.950000000000003" customHeight="1">
      <c r="I13" s="33" t="s">
        <v>52</v>
      </c>
      <c r="J13" s="34" t="s">
        <v>53</v>
      </c>
      <c r="K13" s="27" t="s">
        <v>54</v>
      </c>
      <c r="L13" s="28" t="s">
        <v>45</v>
      </c>
      <c r="M13" s="29" t="s">
        <v>55</v>
      </c>
      <c r="N13" s="35">
        <v>1500</v>
      </c>
      <c r="O13" s="35">
        <v>1411</v>
      </c>
      <c r="P13" s="35" t="s">
        <v>56</v>
      </c>
      <c r="Q13" s="36">
        <f>1090900+954200</f>
        <v>2045100</v>
      </c>
      <c r="R13" s="31">
        <v>808361</v>
      </c>
      <c r="S13" s="31">
        <f t="shared" si="1"/>
        <v>230000</v>
      </c>
      <c r="T13" s="36">
        <v>356000</v>
      </c>
      <c r="U13" s="36">
        <f>391037+104865</f>
        <v>495902</v>
      </c>
      <c r="V13" s="36">
        <f>SUM(R13:U13)</f>
        <v>1890263</v>
      </c>
      <c r="W13" s="35">
        <f>Q13-V13</f>
        <v>154837</v>
      </c>
    </row>
    <row r="14" spans="2:29" ht="33.950000000000003" customHeight="1">
      <c r="I14" s="33" t="s">
        <v>57</v>
      </c>
      <c r="J14" s="34" t="s">
        <v>58</v>
      </c>
      <c r="K14" s="27" t="s">
        <v>59</v>
      </c>
      <c r="L14" s="28" t="s">
        <v>60</v>
      </c>
      <c r="M14" s="29" t="s">
        <v>61</v>
      </c>
      <c r="N14" s="35">
        <v>825</v>
      </c>
      <c r="O14" s="35">
        <v>532</v>
      </c>
      <c r="P14" s="35">
        <v>300</v>
      </c>
      <c r="Q14" s="36">
        <f>802650+81050</f>
        <v>883700</v>
      </c>
      <c r="R14" s="31">
        <v>414485</v>
      </c>
      <c r="S14" s="31">
        <v>135000</v>
      </c>
      <c r="T14" s="36">
        <v>304295</v>
      </c>
      <c r="U14" s="36">
        <v>124159</v>
      </c>
      <c r="V14" s="36">
        <f>U14+T14+S14+R14</f>
        <v>977939</v>
      </c>
      <c r="W14" s="40">
        <f>V14-Q14</f>
        <v>94239</v>
      </c>
    </row>
    <row r="15" spans="2:29" ht="33.950000000000003" customHeight="1">
      <c r="I15" s="25" t="s">
        <v>62</v>
      </c>
      <c r="J15" s="26" t="s">
        <v>63</v>
      </c>
      <c r="K15" s="27" t="s">
        <v>64</v>
      </c>
      <c r="L15" s="29" t="s">
        <v>65</v>
      </c>
      <c r="M15" s="29" t="s">
        <v>66</v>
      </c>
      <c r="N15" s="30">
        <v>3049</v>
      </c>
      <c r="O15" s="30">
        <v>2987</v>
      </c>
      <c r="P15" s="30" t="s">
        <v>67</v>
      </c>
      <c r="Q15" s="31">
        <v>1218700</v>
      </c>
      <c r="R15" s="31">
        <v>257480</v>
      </c>
      <c r="S15" s="31">
        <f t="shared" si="1"/>
        <v>230000</v>
      </c>
      <c r="T15" s="31">
        <v>243740</v>
      </c>
      <c r="U15" s="31">
        <v>487480</v>
      </c>
      <c r="V15" s="31">
        <f>U15+T15+S15+R15</f>
        <v>1218700</v>
      </c>
      <c r="W15" s="32">
        <f>Q15-V15</f>
        <v>0</v>
      </c>
    </row>
    <row r="16" spans="2:29" ht="33.950000000000003" customHeight="1">
      <c r="B16" s="41"/>
      <c r="C16" s="41"/>
      <c r="D16" s="41"/>
      <c r="E16" s="41"/>
      <c r="F16" s="41"/>
      <c r="G16" s="41"/>
      <c r="H16" s="41"/>
      <c r="I16" s="25" t="s">
        <v>68</v>
      </c>
      <c r="J16" s="26" t="s">
        <v>69</v>
      </c>
      <c r="K16" s="27" t="s">
        <v>70</v>
      </c>
      <c r="L16" s="28" t="s">
        <v>45</v>
      </c>
      <c r="M16" s="29" t="s">
        <v>71</v>
      </c>
      <c r="N16" s="30">
        <v>1672</v>
      </c>
      <c r="O16" s="30">
        <v>1325</v>
      </c>
      <c r="P16" s="30">
        <v>350</v>
      </c>
      <c r="Q16" s="31">
        <f>1358335</f>
        <v>1358335</v>
      </c>
      <c r="R16" s="31">
        <v>313334</v>
      </c>
      <c r="S16" s="31">
        <f t="shared" si="1"/>
        <v>230000</v>
      </c>
      <c r="T16" s="31">
        <v>271667</v>
      </c>
      <c r="U16" s="31">
        <v>543334</v>
      </c>
      <c r="V16" s="31">
        <f>U16+T16+S16+R16</f>
        <v>1358335</v>
      </c>
      <c r="W16" s="30">
        <f>Q16-V16</f>
        <v>0</v>
      </c>
    </row>
    <row r="17" spans="9:23" ht="33.950000000000003" customHeight="1">
      <c r="I17" s="33" t="s">
        <v>72</v>
      </c>
      <c r="J17" s="34" t="s">
        <v>73</v>
      </c>
      <c r="K17" s="27" t="s">
        <v>74</v>
      </c>
      <c r="L17" s="42" t="s">
        <v>45</v>
      </c>
      <c r="M17" s="43" t="s">
        <v>75</v>
      </c>
      <c r="N17" s="35">
        <v>2556</v>
      </c>
      <c r="O17" s="35">
        <v>1716</v>
      </c>
      <c r="P17" s="35">
        <v>350</v>
      </c>
      <c r="Q17" s="36">
        <f>4936200+91500</f>
        <v>5027700</v>
      </c>
      <c r="R17" s="31">
        <v>1942300</v>
      </c>
      <c r="S17" s="31">
        <f>14000*10</f>
        <v>140000</v>
      </c>
      <c r="T17" s="36">
        <v>1754400</v>
      </c>
      <c r="U17" s="36">
        <v>1331100</v>
      </c>
      <c r="V17" s="36">
        <f>U17+T17+S17+R17</f>
        <v>5167800</v>
      </c>
      <c r="W17" s="35">
        <f>V17-Q17</f>
        <v>140100</v>
      </c>
    </row>
    <row r="18" spans="9:23" ht="33.950000000000003" customHeight="1">
      <c r="I18" s="34"/>
      <c r="J18" s="34" t="s">
        <v>76</v>
      </c>
      <c r="K18" s="34"/>
      <c r="L18" s="34"/>
      <c r="M18" s="34"/>
      <c r="N18" s="34">
        <f>N10+N11+N12+N13+N14+N15+N16+N17</f>
        <v>15257</v>
      </c>
      <c r="O18" s="34">
        <f>O10+O11+O12+O13+O14+O15+O16+O17</f>
        <v>12463</v>
      </c>
      <c r="P18" s="34"/>
      <c r="Q18" s="44">
        <f t="shared" ref="Q18:W18" si="2">Q10+Q11+Q12+Q13+Q14+Q15+Q16+Q17</f>
        <v>17596770.09</v>
      </c>
      <c r="R18" s="45">
        <f t="shared" ref="R18" si="3">Q18*0.4-S18</f>
        <v>5383708.0360000003</v>
      </c>
      <c r="S18" s="44">
        <f>SUM(S10:S17)</f>
        <v>1655000</v>
      </c>
      <c r="T18" s="44">
        <f t="shared" si="2"/>
        <v>4543810.2</v>
      </c>
      <c r="U18" s="44">
        <f t="shared" si="2"/>
        <v>5261400</v>
      </c>
      <c r="V18" s="44">
        <f t="shared" si="2"/>
        <v>17006802.199999999</v>
      </c>
      <c r="W18" s="46">
        <f t="shared" si="2"/>
        <v>1058645.8899999999</v>
      </c>
    </row>
    <row r="19" spans="9:23" ht="33.950000000000003" customHeight="1">
      <c r="I19" s="92" t="s">
        <v>77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</row>
    <row r="20" spans="9:23" ht="33.950000000000003" customHeight="1">
      <c r="I20" s="33" t="s">
        <v>78</v>
      </c>
      <c r="J20" s="34" t="s">
        <v>79</v>
      </c>
      <c r="K20" s="27" t="s">
        <v>80</v>
      </c>
      <c r="L20" s="47" t="s">
        <v>81</v>
      </c>
      <c r="M20" s="47" t="s">
        <v>82</v>
      </c>
      <c r="N20" s="35">
        <v>1520</v>
      </c>
      <c r="O20" s="35">
        <v>884</v>
      </c>
      <c r="P20" s="35">
        <v>200</v>
      </c>
      <c r="Q20" s="36">
        <f>1524803+211400</f>
        <v>1736203</v>
      </c>
      <c r="R20" s="36">
        <f>509709-S20+61002</f>
        <v>370711</v>
      </c>
      <c r="S20" s="48">
        <f>20000*10</f>
        <v>200000</v>
      </c>
      <c r="T20" s="36">
        <f>599917+113000</f>
        <v>712917</v>
      </c>
      <c r="U20" s="36">
        <f>415175+37398</f>
        <v>452573</v>
      </c>
      <c r="V20" s="36">
        <f>U20+T20+S20+R20</f>
        <v>1736201</v>
      </c>
      <c r="W20" s="40">
        <f>V20-Q20</f>
        <v>-2</v>
      </c>
    </row>
    <row r="21" spans="9:23" ht="33.950000000000003" customHeight="1">
      <c r="I21" s="25" t="s">
        <v>83</v>
      </c>
      <c r="J21" s="49" t="s">
        <v>84</v>
      </c>
      <c r="K21" s="27" t="s">
        <v>85</v>
      </c>
      <c r="L21" s="29" t="s">
        <v>86</v>
      </c>
      <c r="M21" s="29" t="s">
        <v>87</v>
      </c>
      <c r="N21" s="30">
        <v>526</v>
      </c>
      <c r="O21" s="30">
        <v>384</v>
      </c>
      <c r="P21" s="30">
        <v>200</v>
      </c>
      <c r="Q21" s="31">
        <v>414800</v>
      </c>
      <c r="R21" s="31">
        <v>110720</v>
      </c>
      <c r="S21" s="48">
        <f>12000*10</f>
        <v>120000</v>
      </c>
      <c r="T21" s="31">
        <v>61360</v>
      </c>
      <c r="U21" s="31">
        <v>122720</v>
      </c>
      <c r="V21" s="31">
        <f>U21+T21+S21+R21</f>
        <v>414800</v>
      </c>
      <c r="W21" s="30">
        <f>Q21-V21</f>
        <v>0</v>
      </c>
    </row>
    <row r="22" spans="9:23" ht="33.950000000000003" customHeight="1">
      <c r="I22" s="33" t="s">
        <v>88</v>
      </c>
      <c r="J22" s="34" t="s">
        <v>89</v>
      </c>
      <c r="K22" s="27" t="s">
        <v>90</v>
      </c>
      <c r="L22" s="43" t="s">
        <v>40</v>
      </c>
      <c r="M22" s="43" t="s">
        <v>91</v>
      </c>
      <c r="N22" s="35">
        <v>1481</v>
      </c>
      <c r="O22" s="35">
        <v>852</v>
      </c>
      <c r="P22" s="35">
        <v>350</v>
      </c>
      <c r="Q22" s="36">
        <v>1095400</v>
      </c>
      <c r="R22" s="36">
        <v>299300</v>
      </c>
      <c r="S22" s="48">
        <f t="shared" ref="S22:S24" si="4">20000*10</f>
        <v>200000</v>
      </c>
      <c r="T22" s="36">
        <v>373000</v>
      </c>
      <c r="U22" s="36">
        <v>423100</v>
      </c>
      <c r="V22" s="36">
        <f>U22+T22+S22+R22</f>
        <v>1295400</v>
      </c>
      <c r="W22" s="35">
        <f>V22-Q22</f>
        <v>200000</v>
      </c>
    </row>
    <row r="23" spans="9:23" ht="33.950000000000003" customHeight="1">
      <c r="I23" s="25" t="s">
        <v>92</v>
      </c>
      <c r="J23" s="26" t="s">
        <v>93</v>
      </c>
      <c r="K23" s="50" t="s">
        <v>94</v>
      </c>
      <c r="L23" s="29" t="s">
        <v>95</v>
      </c>
      <c r="M23" s="29" t="s">
        <v>96</v>
      </c>
      <c r="N23" s="30">
        <v>1085</v>
      </c>
      <c r="O23" s="30">
        <v>825</v>
      </c>
      <c r="P23" s="30">
        <v>300</v>
      </c>
      <c r="Q23" s="31">
        <v>395178</v>
      </c>
      <c r="R23" s="31">
        <f>Q23*0.4-S23</f>
        <v>58071.200000000012</v>
      </c>
      <c r="S23" s="48">
        <f>10000*10</f>
        <v>100000</v>
      </c>
      <c r="T23" s="31">
        <v>79035</v>
      </c>
      <c r="U23" s="31">
        <v>158071</v>
      </c>
      <c r="V23" s="31">
        <f>U23+T23+S23+R23</f>
        <v>395177.2</v>
      </c>
      <c r="W23" s="32">
        <f>V23-Q23</f>
        <v>-0.79999999998835847</v>
      </c>
    </row>
    <row r="24" spans="9:23" ht="33.950000000000003" customHeight="1">
      <c r="I24" s="51" t="s">
        <v>97</v>
      </c>
      <c r="J24" s="52" t="s">
        <v>98</v>
      </c>
      <c r="K24" s="27" t="s">
        <v>99</v>
      </c>
      <c r="L24" s="29" t="s">
        <v>100</v>
      </c>
      <c r="M24" s="29" t="s">
        <v>101</v>
      </c>
      <c r="N24" s="53">
        <v>2505</v>
      </c>
      <c r="O24" s="53">
        <v>1307</v>
      </c>
      <c r="P24" s="53">
        <v>100</v>
      </c>
      <c r="Q24" s="54">
        <v>1271000</v>
      </c>
      <c r="R24" s="54"/>
      <c r="S24" s="48">
        <f t="shared" si="4"/>
        <v>200000</v>
      </c>
      <c r="T24" s="54">
        <v>421000</v>
      </c>
      <c r="U24" s="54">
        <v>650000</v>
      </c>
      <c r="V24" s="54">
        <f>U24+T24+S24</f>
        <v>1271000</v>
      </c>
      <c r="W24" s="53">
        <f>Q24-V24</f>
        <v>0</v>
      </c>
    </row>
    <row r="25" spans="9:23" ht="33.950000000000003" customHeight="1">
      <c r="I25" s="52"/>
      <c r="J25" s="52" t="s">
        <v>76</v>
      </c>
      <c r="K25" s="52"/>
      <c r="L25" s="52"/>
      <c r="M25" s="52"/>
      <c r="N25" s="52">
        <f>N20+N21+N22+N23+N24</f>
        <v>7117</v>
      </c>
      <c r="O25" s="52">
        <f>O20+O21+O22+O23+O24</f>
        <v>4252</v>
      </c>
      <c r="P25" s="52"/>
      <c r="Q25" s="55">
        <f>SUM(Q20:Q24)</f>
        <v>4912581</v>
      </c>
      <c r="R25" s="55">
        <f>R20+R22+R23</f>
        <v>728082.2</v>
      </c>
      <c r="S25" s="55">
        <f>SUM(S20:S24)</f>
        <v>820000</v>
      </c>
      <c r="T25" s="55">
        <f>T20+T21+T22+T23+T24</f>
        <v>1647312</v>
      </c>
      <c r="U25" s="55">
        <f>U20+U21+U22+U23+U24</f>
        <v>1806464</v>
      </c>
      <c r="V25" s="55">
        <f>V20+V21+V22+V23+V24</f>
        <v>5112578.2</v>
      </c>
      <c r="W25" s="56">
        <f>W21+W20+W22+W23+W24</f>
        <v>199997.2</v>
      </c>
    </row>
    <row r="26" spans="9:23" ht="33.950000000000003" customHeight="1">
      <c r="I26" s="84" t="s">
        <v>102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</row>
    <row r="27" spans="9:23" ht="33.950000000000003" customHeight="1">
      <c r="I27" s="51">
        <v>14</v>
      </c>
      <c r="J27" s="52" t="s">
        <v>103</v>
      </c>
      <c r="K27" s="27" t="s">
        <v>104</v>
      </c>
      <c r="L27" s="29" t="s">
        <v>45</v>
      </c>
      <c r="M27" s="29" t="s">
        <v>105</v>
      </c>
      <c r="N27" s="53">
        <v>2198</v>
      </c>
      <c r="O27" s="53">
        <v>1991</v>
      </c>
      <c r="P27" s="53">
        <v>150</v>
      </c>
      <c r="Q27" s="54">
        <v>437558</v>
      </c>
      <c r="R27" s="54">
        <v>131267</v>
      </c>
      <c r="S27" s="54">
        <f>110000</f>
        <v>110000</v>
      </c>
      <c r="T27" s="54">
        <v>43755</v>
      </c>
      <c r="U27" s="54">
        <v>146290</v>
      </c>
      <c r="V27" s="54">
        <f>U27+T27+S27+R27</f>
        <v>431312</v>
      </c>
      <c r="W27" s="53">
        <f>V27-Q27</f>
        <v>-6246</v>
      </c>
    </row>
    <row r="28" spans="9:23" ht="33.950000000000003" customHeight="1">
      <c r="I28" s="51">
        <v>15</v>
      </c>
      <c r="J28" s="52" t="s">
        <v>106</v>
      </c>
      <c r="K28" s="27" t="s">
        <v>107</v>
      </c>
      <c r="L28" s="29" t="s">
        <v>45</v>
      </c>
      <c r="M28" s="29" t="s">
        <v>108</v>
      </c>
      <c r="N28" s="53">
        <v>1590</v>
      </c>
      <c r="O28" s="53">
        <v>1135</v>
      </c>
      <c r="P28" s="53">
        <v>100</v>
      </c>
      <c r="Q28" s="54">
        <f>535005+37500</f>
        <v>572505</v>
      </c>
      <c r="R28" s="54">
        <v>95985</v>
      </c>
      <c r="S28" s="54">
        <f>125000</f>
        <v>125000</v>
      </c>
      <c r="T28" s="54">
        <v>171751</v>
      </c>
      <c r="U28" s="54">
        <v>175753</v>
      </c>
      <c r="V28" s="54">
        <f>U28+T28+S28+R28</f>
        <v>568489</v>
      </c>
      <c r="W28" s="53">
        <f>Q28-V28</f>
        <v>4016</v>
      </c>
    </row>
    <row r="29" spans="9:23" ht="39.75" customHeight="1">
      <c r="I29" s="51">
        <v>16</v>
      </c>
      <c r="J29" s="52" t="s">
        <v>109</v>
      </c>
      <c r="K29" s="53" t="s">
        <v>110</v>
      </c>
      <c r="L29" s="29" t="s">
        <v>45</v>
      </c>
      <c r="M29" s="53" t="s">
        <v>111</v>
      </c>
      <c r="N29" s="53">
        <f>'[1]ОО За бп'!$E$32</f>
        <v>4262</v>
      </c>
      <c r="O29" s="53">
        <f>'[1]ОО За бп'!$F$32</f>
        <v>280</v>
      </c>
      <c r="P29" s="53">
        <v>700</v>
      </c>
      <c r="Q29" s="54">
        <f>'[1]ОО За бп'!$H$32</f>
        <v>1315340</v>
      </c>
      <c r="R29" s="54">
        <f>'[1]ОО За бп'!$K$32</f>
        <v>409600</v>
      </c>
      <c r="S29" s="54"/>
      <c r="T29" s="54">
        <f>'[1]ОО За бп'!$L$32</f>
        <v>781420</v>
      </c>
      <c r="U29" s="54">
        <f>'[1]ОО За бп'!$M$32</f>
        <v>165700</v>
      </c>
      <c r="V29" s="54">
        <f>U29+T29+S29+R29</f>
        <v>1356720</v>
      </c>
      <c r="W29" s="53"/>
    </row>
    <row r="30" spans="9:23" ht="33.950000000000003" customHeight="1">
      <c r="I30" s="52"/>
      <c r="J30" s="52" t="s">
        <v>76</v>
      </c>
      <c r="K30" s="52"/>
      <c r="L30" s="52"/>
      <c r="M30" s="52"/>
      <c r="N30" s="52">
        <f>N27+N28+N29</f>
        <v>8050</v>
      </c>
      <c r="O30" s="52">
        <f>O27+O28+O29</f>
        <v>3406</v>
      </c>
      <c r="P30" s="52"/>
      <c r="Q30" s="52">
        <f t="shared" ref="Q30:V30" si="5">Q27+Q28+Q29</f>
        <v>2325403</v>
      </c>
      <c r="R30" s="52">
        <f t="shared" si="5"/>
        <v>636852</v>
      </c>
      <c r="S30" s="52">
        <f t="shared" si="5"/>
        <v>235000</v>
      </c>
      <c r="T30" s="52">
        <f t="shared" si="5"/>
        <v>996926</v>
      </c>
      <c r="U30" s="52">
        <f t="shared" si="5"/>
        <v>487743</v>
      </c>
      <c r="V30" s="52">
        <f t="shared" si="5"/>
        <v>2356521</v>
      </c>
      <c r="W30" s="52">
        <f>W27+W28</f>
        <v>-2230</v>
      </c>
    </row>
    <row r="31" spans="9:23" ht="33.950000000000003" customHeight="1">
      <c r="I31" s="52"/>
      <c r="J31" s="52" t="s">
        <v>112</v>
      </c>
      <c r="K31" s="52"/>
      <c r="L31" s="52"/>
      <c r="M31" s="52"/>
      <c r="N31" s="52">
        <f>N18+N25+N30</f>
        <v>30424</v>
      </c>
      <c r="O31" s="52">
        <f>O18+O25+O30</f>
        <v>20121</v>
      </c>
      <c r="P31" s="52"/>
      <c r="Q31" s="55">
        <f t="shared" ref="Q31:W31" si="6">Q18+Q25+Q30</f>
        <v>24834754.09</v>
      </c>
      <c r="R31" s="55">
        <f t="shared" si="6"/>
        <v>6748642.2360000005</v>
      </c>
      <c r="S31" s="55">
        <f>S30+S25+S18</f>
        <v>2710000</v>
      </c>
      <c r="T31" s="55">
        <f t="shared" si="6"/>
        <v>7188048.2000000002</v>
      </c>
      <c r="U31" s="55">
        <f t="shared" si="6"/>
        <v>7555607</v>
      </c>
      <c r="V31" s="55">
        <f t="shared" si="6"/>
        <v>24475901.399999999</v>
      </c>
      <c r="W31" s="57">
        <f t="shared" si="6"/>
        <v>1256413.0899999999</v>
      </c>
    </row>
    <row r="32" spans="9:23" ht="30" customHeight="1">
      <c r="I32" s="93"/>
      <c r="J32" s="93"/>
      <c r="K32" s="93"/>
      <c r="L32" s="93"/>
      <c r="M32" s="93"/>
      <c r="N32" s="93"/>
      <c r="O32" s="93"/>
      <c r="P32" s="93"/>
      <c r="Q32" s="39"/>
      <c r="R32" s="39"/>
      <c r="S32" s="39"/>
      <c r="T32" s="39"/>
      <c r="U32" s="39"/>
      <c r="V32" s="39"/>
      <c r="W32" s="39"/>
    </row>
    <row r="33" spans="2:22" ht="15.75">
      <c r="I33" s="94" t="s">
        <v>113</v>
      </c>
      <c r="J33" s="95"/>
      <c r="K33" s="95"/>
      <c r="L33" s="95"/>
      <c r="M33" s="95"/>
      <c r="N33" s="95"/>
      <c r="O33" s="95"/>
      <c r="P33" s="95"/>
    </row>
    <row r="34" spans="2:22">
      <c r="I34" s="89" t="s">
        <v>114</v>
      </c>
      <c r="J34" s="89"/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</row>
    <row r="35" spans="2:22"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</row>
    <row r="36" spans="2:22">
      <c r="I36" s="89" t="s">
        <v>115</v>
      </c>
      <c r="J36" s="89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</row>
    <row r="37" spans="2:22" ht="15.7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</row>
    <row r="38" spans="2:22" ht="15.7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90"/>
      <c r="P38" s="90"/>
      <c r="Q38" s="90"/>
      <c r="R38" s="59"/>
      <c r="S38" s="59"/>
      <c r="T38" s="58"/>
      <c r="U38" s="58"/>
    </row>
    <row r="39" spans="2:22" ht="15.75">
      <c r="B39" s="91" t="s">
        <v>19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</row>
  </sheetData>
  <mergeCells count="26">
    <mergeCell ref="I36:V36"/>
    <mergeCell ref="B37:U37"/>
    <mergeCell ref="O38:Q38"/>
    <mergeCell ref="B39:U39"/>
    <mergeCell ref="I9:W9"/>
    <mergeCell ref="I19:W19"/>
    <mergeCell ref="I26:W26"/>
    <mergeCell ref="I32:P32"/>
    <mergeCell ref="I33:P33"/>
    <mergeCell ref="I34:V34"/>
    <mergeCell ref="I1:W1"/>
    <mergeCell ref="O2:U2"/>
    <mergeCell ref="O3:V3"/>
    <mergeCell ref="I6:I8"/>
    <mergeCell ref="J6:J8"/>
    <mergeCell ref="K6:K8"/>
    <mergeCell ref="L6:L8"/>
    <mergeCell ref="M6:M8"/>
    <mergeCell ref="N6:N8"/>
    <mergeCell ref="O6:O8"/>
    <mergeCell ref="P6:P8"/>
    <mergeCell ref="Q6:Q8"/>
    <mergeCell ref="R6:U6"/>
    <mergeCell ref="V6:V8"/>
    <mergeCell ref="W6:W8"/>
    <mergeCell ref="T7:T8"/>
  </mergeCells>
  <pageMargins left="0.31496062992125984" right="0" top="0.59055118110236227" bottom="0.35433070866141736" header="0.31496062992125984" footer="0.31496062992125984"/>
  <pageSetup paperSize="9" scale="70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5"/>
  <sheetViews>
    <sheetView topLeftCell="O24" workbookViewId="0">
      <selection activeCell="X27" sqref="X27:X29"/>
    </sheetView>
  </sheetViews>
  <sheetFormatPr defaultRowHeight="15"/>
  <cols>
    <col min="1" max="1" width="0.42578125" customWidth="1"/>
    <col min="2" max="2" width="9.140625" hidden="1" customWidth="1"/>
    <col min="3" max="3" width="0.140625" hidden="1" customWidth="1"/>
    <col min="4" max="6" width="9.140625" hidden="1" customWidth="1"/>
    <col min="7" max="7" width="0.5703125" hidden="1" customWidth="1"/>
    <col min="8" max="8" width="1.85546875" customWidth="1"/>
    <col min="9" max="9" width="4.85546875" customWidth="1"/>
    <col min="11" max="11" width="12.42578125" customWidth="1"/>
    <col min="12" max="12" width="11.140625" customWidth="1"/>
    <col min="13" max="13" width="11.7109375" customWidth="1"/>
    <col min="14" max="14" width="11" customWidth="1"/>
    <col min="15" max="15" width="9.140625" customWidth="1"/>
    <col min="16" max="16" width="14.7109375" customWidth="1"/>
    <col min="17" max="17" width="14" customWidth="1"/>
    <col min="18" max="18" width="14.7109375" customWidth="1"/>
    <col min="19" max="19" width="14.7109375" hidden="1" customWidth="1"/>
    <col min="20" max="20" width="14.7109375" customWidth="1"/>
    <col min="21" max="21" width="15.28515625" customWidth="1"/>
    <col min="22" max="22" width="15.28515625" hidden="1" customWidth="1"/>
    <col min="23" max="23" width="21.28515625" customWidth="1"/>
    <col min="24" max="24" width="28.7109375" customWidth="1"/>
    <col min="25" max="25" width="16.42578125" customWidth="1"/>
    <col min="26" max="26" width="16.42578125" hidden="1" customWidth="1"/>
    <col min="27" max="27" width="11.85546875" customWidth="1"/>
    <col min="28" max="28" width="11.42578125" bestFit="1" customWidth="1"/>
    <col min="29" max="29" width="11.28515625" customWidth="1"/>
    <col min="30" max="30" width="12.85546875" customWidth="1"/>
  </cols>
  <sheetData>
    <row r="1" spans="2:32" ht="27.75" customHeight="1">
      <c r="I1" s="82" t="s">
        <v>17</v>
      </c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B1" s="22"/>
      <c r="AC1" s="22"/>
    </row>
    <row r="2" spans="2:32" ht="25.5" customHeight="1">
      <c r="I2" s="4"/>
      <c r="J2" s="9"/>
      <c r="K2" s="9"/>
      <c r="L2" s="9"/>
      <c r="M2" s="9"/>
      <c r="N2" s="9"/>
      <c r="O2" s="82" t="s">
        <v>118</v>
      </c>
      <c r="P2" s="82"/>
      <c r="Q2" s="82"/>
      <c r="R2" s="82"/>
      <c r="S2" s="82"/>
      <c r="T2" s="82"/>
      <c r="U2" s="82"/>
      <c r="V2" s="82"/>
      <c r="W2" s="82"/>
      <c r="X2" s="82"/>
      <c r="Y2" s="9"/>
      <c r="Z2" s="9"/>
      <c r="AB2" s="22"/>
      <c r="AC2" s="22"/>
    </row>
    <row r="3" spans="2:32" ht="18.75" customHeight="1">
      <c r="I3" s="22"/>
      <c r="O3" s="83" t="s">
        <v>19</v>
      </c>
      <c r="P3" s="83"/>
      <c r="Q3" s="83"/>
      <c r="R3" s="83"/>
      <c r="S3" s="83"/>
      <c r="T3" s="83"/>
      <c r="U3" s="83"/>
      <c r="V3" s="83"/>
      <c r="W3" s="83"/>
      <c r="X3" s="83"/>
      <c r="Y3" s="83"/>
      <c r="AB3" s="22"/>
      <c r="AC3" s="22"/>
    </row>
    <row r="4" spans="2:32" ht="5.25" hidden="1" customHeight="1" thickBot="1">
      <c r="J4" s="22"/>
      <c r="K4" s="22"/>
      <c r="L4" s="22"/>
      <c r="M4" s="22"/>
      <c r="N4" s="22"/>
      <c r="O4" s="22"/>
      <c r="P4" s="22"/>
      <c r="Q4" s="22"/>
      <c r="R4" s="23"/>
      <c r="S4" s="23"/>
      <c r="T4" s="23"/>
      <c r="U4" s="22"/>
      <c r="V4" s="22"/>
      <c r="W4" s="22"/>
      <c r="X4" s="22"/>
      <c r="Y4" s="22"/>
      <c r="Z4" s="22"/>
    </row>
    <row r="5" spans="2:32" ht="23.25" hidden="1" customHeight="1" thickBot="1">
      <c r="I5" s="23"/>
    </row>
    <row r="6" spans="2:32" ht="27" customHeight="1">
      <c r="I6" s="84" t="s">
        <v>20</v>
      </c>
      <c r="J6" s="84" t="s">
        <v>21</v>
      </c>
      <c r="K6" s="85" t="s">
        <v>22</v>
      </c>
      <c r="L6" s="85" t="s">
        <v>3</v>
      </c>
      <c r="M6" s="85" t="s">
        <v>6</v>
      </c>
      <c r="N6" s="84" t="s">
        <v>23</v>
      </c>
      <c r="O6" s="84" t="s">
        <v>24</v>
      </c>
      <c r="P6" s="84" t="s">
        <v>25</v>
      </c>
      <c r="Q6" s="85" t="s">
        <v>119</v>
      </c>
      <c r="R6" s="84" t="s">
        <v>120</v>
      </c>
      <c r="S6" s="52"/>
      <c r="T6" s="85" t="s">
        <v>121</v>
      </c>
      <c r="U6" s="88" t="s">
        <v>27</v>
      </c>
      <c r="V6" s="88"/>
      <c r="W6" s="88"/>
      <c r="X6" s="88"/>
      <c r="Y6" s="85" t="s">
        <v>122</v>
      </c>
      <c r="Z6" s="85" t="s">
        <v>29</v>
      </c>
    </row>
    <row r="7" spans="2:32" ht="25.5">
      <c r="I7" s="84"/>
      <c r="J7" s="84"/>
      <c r="K7" s="86"/>
      <c r="L7" s="86"/>
      <c r="M7" s="86"/>
      <c r="N7" s="84"/>
      <c r="O7" s="84"/>
      <c r="P7" s="84"/>
      <c r="Q7" s="86"/>
      <c r="R7" s="84"/>
      <c r="S7" s="85"/>
      <c r="T7" s="86"/>
      <c r="U7" s="24" t="s">
        <v>30</v>
      </c>
      <c r="V7" s="24" t="s">
        <v>31</v>
      </c>
      <c r="W7" s="88" t="s">
        <v>32</v>
      </c>
      <c r="X7" s="24" t="s">
        <v>33</v>
      </c>
      <c r="Y7" s="86"/>
      <c r="Z7" s="86"/>
    </row>
    <row r="8" spans="2:32" ht="98.25" customHeight="1">
      <c r="I8" s="84"/>
      <c r="J8" s="84"/>
      <c r="K8" s="87"/>
      <c r="L8" s="87"/>
      <c r="M8" s="87"/>
      <c r="N8" s="84"/>
      <c r="O8" s="84"/>
      <c r="P8" s="84"/>
      <c r="Q8" s="87"/>
      <c r="R8" s="84"/>
      <c r="S8" s="87"/>
      <c r="T8" s="87"/>
      <c r="U8" s="24" t="s">
        <v>34</v>
      </c>
      <c r="V8" s="24"/>
      <c r="W8" s="88"/>
      <c r="X8" s="24" t="s">
        <v>35</v>
      </c>
      <c r="Y8" s="87"/>
      <c r="Z8" s="87"/>
    </row>
    <row r="9" spans="2:32" ht="15.75" customHeight="1">
      <c r="I9" s="88" t="s">
        <v>36</v>
      </c>
      <c r="J9" s="88"/>
      <c r="K9" s="88"/>
      <c r="L9" s="88"/>
      <c r="M9" s="88"/>
      <c r="N9" s="88"/>
      <c r="O9" s="88"/>
      <c r="P9" s="88"/>
      <c r="Q9" s="88"/>
      <c r="R9" s="88"/>
      <c r="S9" s="88"/>
      <c r="T9" s="88"/>
      <c r="U9" s="88"/>
      <c r="V9" s="88"/>
      <c r="W9" s="88"/>
      <c r="X9" s="88"/>
      <c r="Y9" s="88"/>
      <c r="Z9" s="88"/>
    </row>
    <row r="10" spans="2:32" ht="33.950000000000003" customHeight="1">
      <c r="I10" s="25" t="s">
        <v>37</v>
      </c>
      <c r="J10" s="26" t="s">
        <v>38</v>
      </c>
      <c r="K10" s="27" t="s">
        <v>39</v>
      </c>
      <c r="L10" s="28" t="s">
        <v>40</v>
      </c>
      <c r="M10" s="29" t="s">
        <v>41</v>
      </c>
      <c r="N10" s="30">
        <f>[2]Лист1!$J$11</f>
        <v>2052</v>
      </c>
      <c r="O10" s="30">
        <f>[2]Лист1!$K$11</f>
        <v>1500</v>
      </c>
      <c r="P10" s="30">
        <f>[2]Лист1!$L$11</f>
        <v>250</v>
      </c>
      <c r="Q10" s="30">
        <v>511252</v>
      </c>
      <c r="R10" s="31">
        <f>[2]Лист1!$M$11</f>
        <v>6907866.3399999999</v>
      </c>
      <c r="S10" s="31"/>
      <c r="T10" s="31">
        <f>Q10+R10</f>
        <v>7419118.3399999999</v>
      </c>
      <c r="U10" s="31">
        <f>[2]Лист1!$N$11</f>
        <v>5223169.9400000004</v>
      </c>
      <c r="V10" s="31"/>
      <c r="W10" s="31">
        <f>[2]Лист1!$O$11</f>
        <v>2021901</v>
      </c>
      <c r="X10" s="31">
        <f>[2]Лист1!$P$11</f>
        <v>174047</v>
      </c>
      <c r="Y10" s="31">
        <f t="shared" ref="Y10:Y11" si="0">U10+W10+X10</f>
        <v>7419117.9400000004</v>
      </c>
      <c r="Z10" s="32">
        <f>R10-Y10</f>
        <v>-511251.60000000056</v>
      </c>
    </row>
    <row r="11" spans="2:32" ht="33.950000000000003" customHeight="1">
      <c r="I11" s="33" t="s">
        <v>42</v>
      </c>
      <c r="J11" s="34" t="s">
        <v>43</v>
      </c>
      <c r="K11" s="27" t="s">
        <v>44</v>
      </c>
      <c r="L11" s="29" t="s">
        <v>45</v>
      </c>
      <c r="M11" s="29" t="s">
        <v>46</v>
      </c>
      <c r="N11" s="35">
        <v>1500</v>
      </c>
      <c r="O11" s="62">
        <v>900</v>
      </c>
      <c r="P11" s="35" t="s">
        <v>123</v>
      </c>
      <c r="Q11" s="35"/>
      <c r="R11" s="36">
        <v>3767241</v>
      </c>
      <c r="S11" s="36"/>
      <c r="T11" s="31">
        <f>Q11+R11</f>
        <v>3767241</v>
      </c>
      <c r="U11" s="31">
        <v>1380300</v>
      </c>
      <c r="V11" s="31"/>
      <c r="W11" s="36">
        <v>1856800</v>
      </c>
      <c r="X11" s="36">
        <v>153000</v>
      </c>
      <c r="Y11" s="37">
        <f t="shared" si="0"/>
        <v>3390100</v>
      </c>
      <c r="Z11" s="38">
        <f>R11-Y11</f>
        <v>377141</v>
      </c>
      <c r="AB11" s="60"/>
    </row>
    <row r="12" spans="2:32" ht="33.950000000000003" customHeight="1">
      <c r="I12" s="33" t="s">
        <v>48</v>
      </c>
      <c r="J12" s="34" t="s">
        <v>49</v>
      </c>
      <c r="K12" s="27" t="s">
        <v>50</v>
      </c>
      <c r="L12" s="28" t="s">
        <v>45</v>
      </c>
      <c r="M12" s="29" t="s">
        <v>51</v>
      </c>
      <c r="N12" s="35">
        <f>[2]Лист1!$J$15</f>
        <v>1962</v>
      </c>
      <c r="O12" s="35">
        <f>[2]Лист1!$K$15</f>
        <v>1728</v>
      </c>
      <c r="P12" s="35">
        <f>[2]Лист1!$L$15</f>
        <v>450</v>
      </c>
      <c r="Q12" s="35">
        <v>63600</v>
      </c>
      <c r="R12" s="36">
        <f>[2]Лист1!$M$15</f>
        <v>8311900</v>
      </c>
      <c r="S12" s="36"/>
      <c r="T12" s="31">
        <f t="shared" ref="T12:T17" si="1">Q12+R12</f>
        <v>8375500</v>
      </c>
      <c r="U12" s="31">
        <f>[2]Лист1!$N$15</f>
        <v>4629800</v>
      </c>
      <c r="V12" s="31"/>
      <c r="W12" s="36">
        <f>[2]Лист1!$O$15</f>
        <v>2024800</v>
      </c>
      <c r="X12" s="36">
        <f>[2]Лист1!$P$15</f>
        <v>1720900</v>
      </c>
      <c r="Y12" s="36">
        <f>SUM(U12:X12)</f>
        <v>8375500</v>
      </c>
      <c r="Z12" s="35">
        <f>R12-Y12</f>
        <v>-63600</v>
      </c>
      <c r="AA12" s="63"/>
      <c r="AB12" s="39"/>
      <c r="AC12" s="39"/>
      <c r="AD12" s="39"/>
      <c r="AE12" s="39"/>
      <c r="AF12" s="39"/>
    </row>
    <row r="13" spans="2:32" ht="33.950000000000003" customHeight="1">
      <c r="I13" s="33" t="s">
        <v>52</v>
      </c>
      <c r="J13" s="34" t="s">
        <v>53</v>
      </c>
      <c r="K13" s="27" t="s">
        <v>54</v>
      </c>
      <c r="L13" s="28" t="s">
        <v>45</v>
      </c>
      <c r="M13" s="29" t="s">
        <v>55</v>
      </c>
      <c r="N13" s="35">
        <v>1436</v>
      </c>
      <c r="O13" s="35">
        <v>1390</v>
      </c>
      <c r="P13" s="35" t="s">
        <v>56</v>
      </c>
      <c r="Q13" s="35"/>
      <c r="R13" s="36">
        <v>5567919</v>
      </c>
      <c r="S13" s="36"/>
      <c r="T13" s="31">
        <f t="shared" si="1"/>
        <v>5567919</v>
      </c>
      <c r="U13" s="31">
        <v>2461632</v>
      </c>
      <c r="V13" s="31"/>
      <c r="W13" s="36">
        <v>1470399</v>
      </c>
      <c r="X13" s="36">
        <v>1516415</v>
      </c>
      <c r="Y13" s="36">
        <f>SUM(U13:X13)</f>
        <v>5448446</v>
      </c>
      <c r="Z13" s="35">
        <f>R13-Y13</f>
        <v>119473</v>
      </c>
    </row>
    <row r="14" spans="2:32" ht="33.950000000000003" customHeight="1">
      <c r="I14" s="33" t="s">
        <v>57</v>
      </c>
      <c r="J14" s="34" t="s">
        <v>58</v>
      </c>
      <c r="K14" s="27" t="s">
        <v>59</v>
      </c>
      <c r="L14" s="28" t="s">
        <v>60</v>
      </c>
      <c r="M14" s="29" t="s">
        <v>61</v>
      </c>
      <c r="N14" s="35">
        <f>[2]Лист1!$J$18</f>
        <v>756</v>
      </c>
      <c r="O14" s="35">
        <f>[2]Лист1!$K$18</f>
        <v>756</v>
      </c>
      <c r="P14" s="35">
        <v>300</v>
      </c>
      <c r="Q14" s="35"/>
      <c r="R14" s="36">
        <f>[2]Лист1!$M$18</f>
        <v>1084630</v>
      </c>
      <c r="S14" s="36"/>
      <c r="T14" s="31">
        <f t="shared" si="1"/>
        <v>1084630</v>
      </c>
      <c r="U14" s="31">
        <f>[2]Лист1!$N$18</f>
        <v>395495</v>
      </c>
      <c r="V14" s="31"/>
      <c r="W14" s="36">
        <v>488179</v>
      </c>
      <c r="X14" s="36">
        <v>200956</v>
      </c>
      <c r="Y14" s="36">
        <f>X14+W14+V14+U14</f>
        <v>1084630</v>
      </c>
      <c r="Z14" s="40">
        <f>Y14-R14</f>
        <v>0</v>
      </c>
    </row>
    <row r="15" spans="2:32" ht="33.950000000000003" customHeight="1">
      <c r="I15" s="25" t="s">
        <v>62</v>
      </c>
      <c r="J15" s="26" t="s">
        <v>63</v>
      </c>
      <c r="K15" s="27" t="s">
        <v>64</v>
      </c>
      <c r="L15" s="29" t="s">
        <v>65</v>
      </c>
      <c r="M15" s="29" t="s">
        <v>66</v>
      </c>
      <c r="N15" s="30">
        <v>2916</v>
      </c>
      <c r="O15" s="30">
        <v>2850</v>
      </c>
      <c r="P15" s="30" t="s">
        <v>67</v>
      </c>
      <c r="Q15" s="30"/>
      <c r="R15" s="31">
        <v>5537780</v>
      </c>
      <c r="S15" s="31"/>
      <c r="T15" s="31">
        <f t="shared" si="1"/>
        <v>5537780</v>
      </c>
      <c r="U15" s="31">
        <v>2729300.92</v>
      </c>
      <c r="V15" s="31"/>
      <c r="W15" s="31">
        <v>1541138</v>
      </c>
      <c r="X15" s="31">
        <v>447370</v>
      </c>
      <c r="Y15" s="31">
        <f>X15+W15+V15+U15</f>
        <v>4717808.92</v>
      </c>
      <c r="Z15" s="32">
        <f>R15-Y15</f>
        <v>819971.08000000007</v>
      </c>
    </row>
    <row r="16" spans="2:32" ht="33.950000000000003" customHeight="1">
      <c r="B16" s="41"/>
      <c r="C16" s="41"/>
      <c r="D16" s="41"/>
      <c r="E16" s="41"/>
      <c r="F16" s="41"/>
      <c r="G16" s="41"/>
      <c r="H16" s="41"/>
      <c r="I16" s="25" t="s">
        <v>68</v>
      </c>
      <c r="J16" s="26" t="s">
        <v>69</v>
      </c>
      <c r="K16" s="27" t="s">
        <v>70</v>
      </c>
      <c r="L16" s="28" t="s">
        <v>45</v>
      </c>
      <c r="M16" s="29" t="s">
        <v>71</v>
      </c>
      <c r="N16" s="30">
        <v>1586</v>
      </c>
      <c r="O16" s="30">
        <v>650</v>
      </c>
      <c r="P16" s="30">
        <v>350</v>
      </c>
      <c r="Q16" s="30">
        <v>25816</v>
      </c>
      <c r="R16" s="31">
        <v>3655647</v>
      </c>
      <c r="S16" s="31"/>
      <c r="T16" s="31">
        <f t="shared" si="1"/>
        <v>3681463</v>
      </c>
      <c r="U16" s="31">
        <v>1569016</v>
      </c>
      <c r="V16" s="31"/>
      <c r="W16" s="31">
        <v>1656192</v>
      </c>
      <c r="X16" s="31">
        <v>456255</v>
      </c>
      <c r="Y16" s="31">
        <f>X16+W16+V16+U16</f>
        <v>3681463</v>
      </c>
      <c r="Z16" s="30">
        <f>R16-Y16</f>
        <v>-25816</v>
      </c>
      <c r="AA16" s="60"/>
    </row>
    <row r="17" spans="9:27" ht="33.950000000000003" customHeight="1">
      <c r="I17" s="33" t="s">
        <v>72</v>
      </c>
      <c r="J17" s="34" t="s">
        <v>73</v>
      </c>
      <c r="K17" s="27" t="s">
        <v>74</v>
      </c>
      <c r="L17" s="42" t="s">
        <v>45</v>
      </c>
      <c r="M17" s="43" t="s">
        <v>75</v>
      </c>
      <c r="N17" s="35">
        <v>2381</v>
      </c>
      <c r="O17" s="35">
        <v>1716</v>
      </c>
      <c r="P17" s="35">
        <v>350</v>
      </c>
      <c r="Q17" s="35">
        <v>68100</v>
      </c>
      <c r="R17" s="36">
        <v>5405700</v>
      </c>
      <c r="S17" s="36"/>
      <c r="T17" s="31">
        <f t="shared" si="1"/>
        <v>5473800</v>
      </c>
      <c r="U17" s="31">
        <v>2244500</v>
      </c>
      <c r="V17" s="31"/>
      <c r="W17" s="36">
        <v>1863200</v>
      </c>
      <c r="X17" s="36">
        <v>1366100</v>
      </c>
      <c r="Y17" s="36">
        <f>X17+W17+V17+U17</f>
        <v>5473800</v>
      </c>
      <c r="Z17" s="35">
        <f>Y17-R17</f>
        <v>68100</v>
      </c>
      <c r="AA17" s="60"/>
    </row>
    <row r="18" spans="9:27" ht="33.950000000000003" customHeight="1">
      <c r="I18" s="34"/>
      <c r="J18" s="34" t="s">
        <v>76</v>
      </c>
      <c r="K18" s="34"/>
      <c r="L18" s="34"/>
      <c r="M18" s="34"/>
      <c r="N18" s="34">
        <f>N10+N11+N12+N13+N14+N15+N16+N17</f>
        <v>14589</v>
      </c>
      <c r="O18" s="34">
        <f>O10+O11+O12+O13+O14+O15+O16+O17</f>
        <v>11490</v>
      </c>
      <c r="P18" s="34"/>
      <c r="Q18" s="34"/>
      <c r="R18" s="44">
        <f t="shared" ref="R18:Z18" si="2">R10+R11+R12+R13+R14+R15+R16+R17</f>
        <v>40238683.340000004</v>
      </c>
      <c r="S18" s="44"/>
      <c r="T18" s="44"/>
      <c r="U18" s="45">
        <f t="shared" ref="U18" si="3">R18*0.4-V18</f>
        <v>16095473.336000003</v>
      </c>
      <c r="V18" s="44">
        <f>SUM(V10:V17)</f>
        <v>0</v>
      </c>
      <c r="W18" s="44">
        <f t="shared" si="2"/>
        <v>12922609</v>
      </c>
      <c r="X18" s="44">
        <f t="shared" si="2"/>
        <v>6035043</v>
      </c>
      <c r="Y18" s="44">
        <f t="shared" si="2"/>
        <v>39590865.859999999</v>
      </c>
      <c r="Z18" s="46">
        <f t="shared" si="2"/>
        <v>784017.47999999952</v>
      </c>
    </row>
    <row r="19" spans="9:27" ht="33.950000000000003" customHeight="1">
      <c r="I19" s="92" t="s">
        <v>77</v>
      </c>
      <c r="J19" s="92"/>
      <c r="K19" s="92"/>
      <c r="L19" s="92"/>
      <c r="M19" s="92"/>
      <c r="N19" s="92"/>
      <c r="O19" s="92"/>
      <c r="P19" s="92"/>
      <c r="Q19" s="92"/>
      <c r="R19" s="92"/>
      <c r="S19" s="92"/>
      <c r="T19" s="92"/>
      <c r="U19" s="92"/>
      <c r="V19" s="92"/>
      <c r="W19" s="92"/>
      <c r="X19" s="92"/>
      <c r="Y19" s="92"/>
      <c r="Z19" s="92"/>
    </row>
    <row r="20" spans="9:27" ht="33.950000000000003" customHeight="1">
      <c r="I20" s="33" t="s">
        <v>78</v>
      </c>
      <c r="J20" s="34" t="s">
        <v>79</v>
      </c>
      <c r="K20" s="27" t="s">
        <v>80</v>
      </c>
      <c r="L20" s="47" t="s">
        <v>81</v>
      </c>
      <c r="M20" s="47" t="s">
        <v>82</v>
      </c>
      <c r="N20" s="35">
        <v>1520</v>
      </c>
      <c r="O20" s="35">
        <v>884</v>
      </c>
      <c r="P20" s="35">
        <v>200</v>
      </c>
      <c r="Q20" s="35">
        <v>1081840</v>
      </c>
      <c r="R20" s="36">
        <v>1605134</v>
      </c>
      <c r="S20" s="36"/>
      <c r="T20" s="36">
        <f>Q20+R20</f>
        <v>2686974</v>
      </c>
      <c r="U20" s="36">
        <v>462666</v>
      </c>
      <c r="V20" s="48"/>
      <c r="W20" s="36">
        <v>619174</v>
      </c>
      <c r="X20" s="36">
        <v>1605134</v>
      </c>
      <c r="Y20" s="36">
        <f>X20+W20+V20+U20</f>
        <v>2686974</v>
      </c>
      <c r="Z20" s="40">
        <f>Y20-R20</f>
        <v>1081840</v>
      </c>
      <c r="AA20" s="60"/>
    </row>
    <row r="21" spans="9:27" ht="33.950000000000003" customHeight="1">
      <c r="I21" s="25" t="s">
        <v>83</v>
      </c>
      <c r="J21" s="49" t="s">
        <v>84</v>
      </c>
      <c r="K21" s="27" t="s">
        <v>85</v>
      </c>
      <c r="L21" s="29" t="s">
        <v>86</v>
      </c>
      <c r="M21" s="29" t="s">
        <v>87</v>
      </c>
      <c r="N21" s="30">
        <v>488</v>
      </c>
      <c r="O21" s="30">
        <v>240</v>
      </c>
      <c r="P21" s="30">
        <v>200</v>
      </c>
      <c r="Q21" s="30">
        <v>138550</v>
      </c>
      <c r="R21" s="31">
        <v>367250</v>
      </c>
      <c r="S21" s="31"/>
      <c r="T21" s="36">
        <f t="shared" ref="T21:T24" si="4">Q21+R21</f>
        <v>505800</v>
      </c>
      <c r="U21" s="31">
        <v>240692</v>
      </c>
      <c r="V21" s="48"/>
      <c r="W21" s="31">
        <v>12208</v>
      </c>
      <c r="X21" s="31">
        <v>252900</v>
      </c>
      <c r="Y21" s="31">
        <f>X21+W21+V21+U21</f>
        <v>505800</v>
      </c>
      <c r="Z21" s="30">
        <f>R21-Y21</f>
        <v>-138550</v>
      </c>
      <c r="AA21" s="60"/>
    </row>
    <row r="22" spans="9:27" ht="33.950000000000003" customHeight="1">
      <c r="I22" s="33" t="s">
        <v>88</v>
      </c>
      <c r="J22" s="34" t="s">
        <v>89</v>
      </c>
      <c r="K22" s="27" t="s">
        <v>90</v>
      </c>
      <c r="L22" s="43" t="s">
        <v>40</v>
      </c>
      <c r="M22" s="43" t="s">
        <v>91</v>
      </c>
      <c r="N22" s="35">
        <v>1368</v>
      </c>
      <c r="O22" s="35">
        <v>589</v>
      </c>
      <c r="P22" s="35">
        <v>350</v>
      </c>
      <c r="Q22" s="35">
        <v>796400</v>
      </c>
      <c r="R22" s="36">
        <v>1718500</v>
      </c>
      <c r="S22" s="36"/>
      <c r="T22" s="36">
        <f t="shared" si="4"/>
        <v>2514900</v>
      </c>
      <c r="U22" s="36">
        <v>659000</v>
      </c>
      <c r="V22" s="48"/>
      <c r="W22" s="36">
        <v>1068600</v>
      </c>
      <c r="X22" s="36">
        <v>787300</v>
      </c>
      <c r="Y22" s="36">
        <f>X22+W22+V22+U22</f>
        <v>2514900</v>
      </c>
      <c r="Z22" s="35">
        <f>Y22-R22</f>
        <v>796400</v>
      </c>
      <c r="AA22" s="60"/>
    </row>
    <row r="23" spans="9:27" ht="33.950000000000003" customHeight="1">
      <c r="I23" s="25" t="s">
        <v>92</v>
      </c>
      <c r="J23" s="26" t="s">
        <v>93</v>
      </c>
      <c r="K23" s="50" t="s">
        <v>94</v>
      </c>
      <c r="L23" s="29" t="s">
        <v>95</v>
      </c>
      <c r="M23" s="29" t="s">
        <v>96</v>
      </c>
      <c r="N23" s="30">
        <v>1059</v>
      </c>
      <c r="O23" s="30">
        <v>800</v>
      </c>
      <c r="P23" s="30">
        <v>300</v>
      </c>
      <c r="Q23" s="30"/>
      <c r="R23" s="31">
        <v>1181605</v>
      </c>
      <c r="S23" s="31"/>
      <c r="T23" s="36">
        <f t="shared" si="4"/>
        <v>1181605</v>
      </c>
      <c r="U23" s="31">
        <v>978800</v>
      </c>
      <c r="V23" s="48"/>
      <c r="W23" s="31">
        <v>145239</v>
      </c>
      <c r="X23" s="31">
        <v>57566</v>
      </c>
      <c r="Y23" s="31">
        <f>X23+W23+V23+U23</f>
        <v>1181605</v>
      </c>
      <c r="Z23" s="32">
        <f>Y23-R23</f>
        <v>0</v>
      </c>
    </row>
    <row r="24" spans="9:27" ht="33.950000000000003" customHeight="1">
      <c r="I24" s="51" t="s">
        <v>97</v>
      </c>
      <c r="J24" s="52" t="s">
        <v>98</v>
      </c>
      <c r="K24" s="27" t="s">
        <v>99</v>
      </c>
      <c r="L24" s="29" t="s">
        <v>100</v>
      </c>
      <c r="M24" s="29" t="s">
        <v>101</v>
      </c>
      <c r="N24" s="53">
        <v>2321</v>
      </c>
      <c r="O24" s="53">
        <v>1550</v>
      </c>
      <c r="P24" s="53">
        <v>130</v>
      </c>
      <c r="Q24" s="53"/>
      <c r="R24" s="54">
        <v>1200000</v>
      </c>
      <c r="S24" s="54"/>
      <c r="T24" s="36">
        <f t="shared" si="4"/>
        <v>1200000</v>
      </c>
      <c r="U24" s="54">
        <v>980930</v>
      </c>
      <c r="V24" s="48"/>
      <c r="W24" s="54">
        <v>165400</v>
      </c>
      <c r="X24" s="54"/>
      <c r="Y24" s="31">
        <f>X24+W24+V24+U24</f>
        <v>1146330</v>
      </c>
      <c r="Z24" s="53">
        <f>R24-Y24</f>
        <v>53670</v>
      </c>
      <c r="AA24" s="60"/>
    </row>
    <row r="25" spans="9:27" ht="33.950000000000003" customHeight="1">
      <c r="I25" s="52"/>
      <c r="J25" s="52" t="s">
        <v>76</v>
      </c>
      <c r="K25" s="52"/>
      <c r="L25" s="52"/>
      <c r="M25" s="52"/>
      <c r="N25" s="52">
        <f>N20+N21+N22+N23+N24</f>
        <v>6756</v>
      </c>
      <c r="O25" s="52">
        <f>O20+O21+O22+O23+O24</f>
        <v>4063</v>
      </c>
      <c r="P25" s="52"/>
      <c r="Q25" s="52"/>
      <c r="R25" s="55">
        <f>SUM(R20:R24)</f>
        <v>6072489</v>
      </c>
      <c r="S25" s="55"/>
      <c r="T25" s="55"/>
      <c r="U25" s="55">
        <f>U20+U22+U23</f>
        <v>2100466</v>
      </c>
      <c r="V25" s="55">
        <f>SUM(V20:V24)</f>
        <v>0</v>
      </c>
      <c r="W25" s="55">
        <f>W20+W21+W22+W23+W24</f>
        <v>2010621</v>
      </c>
      <c r="X25" s="55">
        <f>X20+X21+X22+X23+X24</f>
        <v>2702900</v>
      </c>
      <c r="Y25" s="55">
        <f>Y20+Y21+Y22+Y23+Y24</f>
        <v>8035609</v>
      </c>
      <c r="Z25" s="56">
        <f>Z21+Z20+Z22+Z23+Z24</f>
        <v>1793360</v>
      </c>
    </row>
    <row r="26" spans="9:27" ht="33.950000000000003" customHeight="1">
      <c r="I26" s="84" t="s">
        <v>102</v>
      </c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/>
      <c r="U26" s="84"/>
      <c r="V26" s="84"/>
      <c r="W26" s="84"/>
      <c r="X26" s="84"/>
      <c r="Y26" s="84"/>
      <c r="Z26" s="84"/>
    </row>
    <row r="27" spans="9:27" ht="33.950000000000003" customHeight="1">
      <c r="I27" s="51">
        <v>14</v>
      </c>
      <c r="J27" s="52" t="s">
        <v>103</v>
      </c>
      <c r="K27" s="27" t="s">
        <v>104</v>
      </c>
      <c r="L27" s="29" t="s">
        <v>45</v>
      </c>
      <c r="M27" s="29" t="s">
        <v>105</v>
      </c>
      <c r="N27" s="53">
        <v>2003</v>
      </c>
      <c r="O27" s="53">
        <v>1991</v>
      </c>
      <c r="P27" s="53">
        <v>150</v>
      </c>
      <c r="Q27" s="53"/>
      <c r="R27" s="54">
        <v>910570</v>
      </c>
      <c r="S27" s="54"/>
      <c r="T27" s="54">
        <f>Q27+R27</f>
        <v>910570</v>
      </c>
      <c r="U27" s="54">
        <v>483950</v>
      </c>
      <c r="V27" s="54"/>
      <c r="W27" s="54">
        <v>426620</v>
      </c>
      <c r="X27" s="54"/>
      <c r="Y27" s="54">
        <f>X27+W27+V27+U27</f>
        <v>910570</v>
      </c>
      <c r="Z27" s="53">
        <f>Y27-R27</f>
        <v>0</v>
      </c>
    </row>
    <row r="28" spans="9:27" ht="33.950000000000003" customHeight="1">
      <c r="I28" s="51">
        <v>15</v>
      </c>
      <c r="J28" s="52" t="s">
        <v>106</v>
      </c>
      <c r="K28" s="27" t="s">
        <v>107</v>
      </c>
      <c r="L28" s="29" t="s">
        <v>45</v>
      </c>
      <c r="M28" s="29" t="s">
        <v>108</v>
      </c>
      <c r="N28" s="53">
        <v>1384</v>
      </c>
      <c r="O28" s="53">
        <v>800</v>
      </c>
      <c r="P28" s="53">
        <v>100</v>
      </c>
      <c r="Q28" s="53"/>
      <c r="R28" s="54">
        <v>535005</v>
      </c>
      <c r="S28" s="54"/>
      <c r="T28" s="54">
        <f>Q28+R28</f>
        <v>535005</v>
      </c>
      <c r="U28" s="54">
        <v>230985</v>
      </c>
      <c r="V28" s="54"/>
      <c r="W28" s="54">
        <v>147105</v>
      </c>
      <c r="X28" s="54">
        <v>94990</v>
      </c>
      <c r="Y28" s="54">
        <f>X28+W28+V28+U28</f>
        <v>473080</v>
      </c>
      <c r="Z28" s="53">
        <f>R28-Y28</f>
        <v>61925</v>
      </c>
    </row>
    <row r="29" spans="9:27" ht="39.75" customHeight="1">
      <c r="I29" s="51">
        <v>16</v>
      </c>
      <c r="J29" s="52" t="s">
        <v>109</v>
      </c>
      <c r="K29" s="53" t="s">
        <v>110</v>
      </c>
      <c r="L29" s="29" t="s">
        <v>45</v>
      </c>
      <c r="M29" s="53" t="s">
        <v>111</v>
      </c>
      <c r="N29" s="53">
        <f>'[1]ОО За бп'!$E$32</f>
        <v>4262</v>
      </c>
      <c r="O29" s="53">
        <f>'[1]ОО За бп'!$F$32</f>
        <v>280</v>
      </c>
      <c r="P29" s="53">
        <v>700</v>
      </c>
      <c r="Q29" s="53"/>
      <c r="R29" s="54">
        <f>'[1]ОО За бп'!$H$32</f>
        <v>1315340</v>
      </c>
      <c r="S29" s="54"/>
      <c r="T29" s="54">
        <f>Q29+R29</f>
        <v>1315340</v>
      </c>
      <c r="U29" s="54">
        <f>'[1]ОО За бп'!$K$32</f>
        <v>409600</v>
      </c>
      <c r="V29" s="54"/>
      <c r="W29" s="54">
        <f>'[1]ОО За бп'!$L$32</f>
        <v>781420</v>
      </c>
      <c r="X29" s="54">
        <f>'[1]ОО За бп'!$M$32</f>
        <v>165700</v>
      </c>
      <c r="Y29" s="54">
        <f>X29+W29+V29+U29</f>
        <v>1356720</v>
      </c>
      <c r="Z29" s="53"/>
    </row>
    <row r="30" spans="9:27" ht="33.950000000000003" customHeight="1">
      <c r="I30" s="52"/>
      <c r="J30" s="52" t="s">
        <v>76</v>
      </c>
      <c r="K30" s="52"/>
      <c r="L30" s="52"/>
      <c r="M30" s="52"/>
      <c r="N30" s="52">
        <f>N27+N28+N29</f>
        <v>7649</v>
      </c>
      <c r="O30" s="52">
        <f>O27+O28+O29</f>
        <v>3071</v>
      </c>
      <c r="P30" s="52"/>
      <c r="Q30" s="52"/>
      <c r="R30" s="52">
        <f t="shared" ref="R30:Y30" si="5">R27+R28+R29</f>
        <v>2760915</v>
      </c>
      <c r="S30" s="52"/>
      <c r="T30" s="52"/>
      <c r="U30" s="52">
        <f t="shared" si="5"/>
        <v>1124535</v>
      </c>
      <c r="V30" s="52">
        <f t="shared" si="5"/>
        <v>0</v>
      </c>
      <c r="W30" s="52">
        <f t="shared" si="5"/>
        <v>1355145</v>
      </c>
      <c r="X30" s="52">
        <f t="shared" si="5"/>
        <v>260690</v>
      </c>
      <c r="Y30" s="52">
        <f t="shared" si="5"/>
        <v>2740370</v>
      </c>
      <c r="Z30" s="52">
        <f>Z27+Z28</f>
        <v>61925</v>
      </c>
    </row>
    <row r="31" spans="9:27" ht="33.950000000000003" customHeight="1">
      <c r="I31" s="52"/>
      <c r="J31" s="52" t="s">
        <v>112</v>
      </c>
      <c r="K31" s="52"/>
      <c r="L31" s="52"/>
      <c r="M31" s="52"/>
      <c r="N31" s="52">
        <f>N18+N25+N30</f>
        <v>28994</v>
      </c>
      <c r="O31" s="52">
        <f>O18+O25+O30</f>
        <v>18624</v>
      </c>
      <c r="P31" s="52"/>
      <c r="Q31" s="52"/>
      <c r="R31" s="55">
        <f t="shared" ref="R31:Z31" si="6">R18+R25+R30</f>
        <v>49072087.340000004</v>
      </c>
      <c r="S31" s="55"/>
      <c r="T31" s="55"/>
      <c r="U31" s="55">
        <f t="shared" si="6"/>
        <v>19320474.336000003</v>
      </c>
      <c r="V31" s="55">
        <f>V30+V25+V18</f>
        <v>0</v>
      </c>
      <c r="W31" s="55">
        <f t="shared" si="6"/>
        <v>16288375</v>
      </c>
      <c r="X31" s="55">
        <f t="shared" si="6"/>
        <v>8998633</v>
      </c>
      <c r="Y31" s="55">
        <f t="shared" si="6"/>
        <v>50366844.859999999</v>
      </c>
      <c r="Z31" s="57">
        <f t="shared" si="6"/>
        <v>2639302.4799999995</v>
      </c>
    </row>
    <row r="32" spans="9:27" ht="30" customHeight="1">
      <c r="I32" s="93"/>
      <c r="J32" s="93"/>
      <c r="K32" s="93"/>
      <c r="L32" s="93"/>
      <c r="M32" s="93"/>
      <c r="N32" s="93"/>
      <c r="O32" s="93"/>
      <c r="P32" s="93"/>
      <c r="Q32" s="64"/>
      <c r="R32" s="39"/>
      <c r="S32" s="39"/>
      <c r="T32" s="39"/>
      <c r="U32" s="39"/>
      <c r="V32" s="39"/>
      <c r="W32" s="39"/>
      <c r="X32" s="39"/>
      <c r="Y32" s="39"/>
      <c r="Z32" s="39"/>
    </row>
    <row r="33" spans="2:25" ht="15.75">
      <c r="I33" s="94" t="s">
        <v>113</v>
      </c>
      <c r="J33" s="95"/>
      <c r="K33" s="95"/>
      <c r="L33" s="95"/>
      <c r="M33" s="95"/>
      <c r="N33" s="95"/>
      <c r="O33" s="95"/>
      <c r="P33" s="95"/>
      <c r="Q33" s="65"/>
    </row>
    <row r="34" spans="2:25">
      <c r="I34" s="66"/>
      <c r="J34" s="89" t="s">
        <v>114</v>
      </c>
      <c r="K34" s="89"/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  <c r="W34" s="89"/>
      <c r="X34" s="89"/>
      <c r="Y34" s="89"/>
    </row>
    <row r="35" spans="2:25"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</row>
    <row r="36" spans="2:25">
      <c r="J36" s="96" t="s">
        <v>124</v>
      </c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</row>
    <row r="37" spans="2:25" ht="15.75">
      <c r="B37" s="90"/>
      <c r="C37" s="90"/>
      <c r="D37" s="90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</row>
    <row r="38" spans="2:25" ht="15.75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90"/>
      <c r="P38" s="90"/>
      <c r="Q38" s="90"/>
      <c r="R38" s="90"/>
      <c r="S38" s="59"/>
      <c r="T38" s="59"/>
      <c r="U38" s="59"/>
      <c r="V38" s="59"/>
      <c r="W38" s="58"/>
      <c r="X38" s="58"/>
    </row>
    <row r="39" spans="2:25" ht="15.75">
      <c r="B39" s="91" t="s">
        <v>19</v>
      </c>
      <c r="C39" s="91"/>
      <c r="D39" s="91"/>
      <c r="E39" s="91"/>
      <c r="F39" s="91"/>
      <c r="G39" s="91"/>
      <c r="H39" s="91"/>
      <c r="I39" s="91"/>
      <c r="J39" s="91"/>
      <c r="K39" s="91"/>
      <c r="L39" s="91"/>
      <c r="M39" s="91"/>
      <c r="N39" s="91"/>
      <c r="O39" s="91"/>
      <c r="P39" s="91"/>
      <c r="Q39" s="91"/>
      <c r="R39" s="91"/>
      <c r="S39" s="91"/>
      <c r="T39" s="91"/>
      <c r="U39" s="91"/>
      <c r="V39" s="91"/>
      <c r="W39" s="91"/>
      <c r="X39" s="91"/>
    </row>
    <row r="48" spans="2:25">
      <c r="T48" s="31">
        <f>Q48+R48</f>
        <v>0</v>
      </c>
    </row>
    <row r="49" spans="20:20">
      <c r="T49" s="31">
        <f>Q49+R49</f>
        <v>0</v>
      </c>
    </row>
    <row r="50" spans="20:20">
      <c r="T50" s="31">
        <f t="shared" ref="T50:T55" si="7">Q50+R50</f>
        <v>0</v>
      </c>
    </row>
    <row r="51" spans="20:20">
      <c r="T51" s="31">
        <f t="shared" si="7"/>
        <v>0</v>
      </c>
    </row>
    <row r="52" spans="20:20">
      <c r="T52" s="31">
        <f t="shared" si="7"/>
        <v>0</v>
      </c>
    </row>
    <row r="53" spans="20:20">
      <c r="T53" s="31">
        <f t="shared" si="7"/>
        <v>0</v>
      </c>
    </row>
    <row r="54" spans="20:20">
      <c r="T54" s="31">
        <f t="shared" si="7"/>
        <v>0</v>
      </c>
    </row>
    <row r="55" spans="20:20">
      <c r="T55" s="31">
        <f t="shared" si="7"/>
        <v>0</v>
      </c>
    </row>
  </sheetData>
  <mergeCells count="29">
    <mergeCell ref="B39:X39"/>
    <mergeCell ref="I32:P32"/>
    <mergeCell ref="I33:P33"/>
    <mergeCell ref="J34:Y34"/>
    <mergeCell ref="J36:Y36"/>
    <mergeCell ref="B37:X37"/>
    <mergeCell ref="O38:R38"/>
    <mergeCell ref="I26:Z26"/>
    <mergeCell ref="P6:P8"/>
    <mergeCell ref="Q6:Q8"/>
    <mergeCell ref="R6:R8"/>
    <mergeCell ref="T6:T8"/>
    <mergeCell ref="U6:X6"/>
    <mergeCell ref="Y6:Y8"/>
    <mergeCell ref="Z6:Z8"/>
    <mergeCell ref="S7:S8"/>
    <mergeCell ref="W7:W8"/>
    <mergeCell ref="I9:Z9"/>
    <mergeCell ref="I19:Z19"/>
    <mergeCell ref="I1:Z1"/>
    <mergeCell ref="O2:X2"/>
    <mergeCell ref="O3:Y3"/>
    <mergeCell ref="I6:I8"/>
    <mergeCell ref="J6:J8"/>
    <mergeCell ref="K6:K8"/>
    <mergeCell ref="L6:L8"/>
    <mergeCell ref="M6:M8"/>
    <mergeCell ref="N6:N8"/>
    <mergeCell ref="O6:O8"/>
  </mergeCells>
  <pageMargins left="0.31496062992125984" right="0" top="0.59055118110236227" bottom="0.35433070866141736" header="0.31496062992125984" footer="0.31496062992125984"/>
  <pageSetup paperSize="9" scale="65" orientation="landscape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15"/>
  <sheetViews>
    <sheetView tabSelected="1" topLeftCell="A5" zoomScale="85" zoomScaleNormal="85" workbookViewId="0">
      <selection sqref="A1:R15"/>
    </sheetView>
  </sheetViews>
  <sheetFormatPr defaultRowHeight="15"/>
  <cols>
    <col min="1" max="1" width="9.140625" customWidth="1"/>
    <col min="2" max="2" width="13.42578125" customWidth="1"/>
    <col min="3" max="3" width="20.140625" customWidth="1"/>
    <col min="4" max="4" width="17.42578125" customWidth="1"/>
    <col min="7" max="7" width="11.85546875" customWidth="1"/>
    <col min="10" max="10" width="8.28515625" customWidth="1"/>
    <col min="11" max="11" width="12.140625" customWidth="1"/>
    <col min="12" max="12" width="12.85546875" customWidth="1"/>
    <col min="13" max="13" width="12.5703125" customWidth="1"/>
    <col min="18" max="18" width="17.7109375" customWidth="1"/>
    <col min="19" max="19" width="11.140625" hidden="1" customWidth="1"/>
  </cols>
  <sheetData>
    <row r="1" spans="1:19" ht="21">
      <c r="E1" s="1"/>
      <c r="F1" s="1"/>
      <c r="G1" s="1"/>
      <c r="H1" s="1"/>
      <c r="I1" s="1"/>
      <c r="J1" s="1"/>
    </row>
    <row r="3" spans="1:19" ht="18.75">
      <c r="A3" s="2"/>
      <c r="B3" s="3"/>
      <c r="C3" s="82"/>
      <c r="D3" s="82"/>
      <c r="E3" s="82"/>
      <c r="F3" s="82"/>
      <c r="G3" s="82"/>
      <c r="H3" s="82"/>
      <c r="I3" s="82"/>
      <c r="J3" s="82"/>
      <c r="K3" s="82"/>
      <c r="L3" s="5"/>
      <c r="M3" s="5"/>
      <c r="N3" s="5"/>
      <c r="O3" s="5"/>
      <c r="P3" s="5"/>
      <c r="Q3" s="5"/>
      <c r="R3" s="5"/>
    </row>
    <row r="4" spans="1:19" ht="18.75" customHeight="1">
      <c r="A4" s="110" t="s">
        <v>117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19" ht="18.75">
      <c r="A5" s="111" t="s">
        <v>143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8"/>
      <c r="R5" s="6"/>
      <c r="S5" s="6"/>
    </row>
    <row r="6" spans="1:19" ht="9" customHeight="1">
      <c r="A6" s="7"/>
      <c r="B6" s="7"/>
      <c r="C6" s="9"/>
      <c r="D6" s="9"/>
      <c r="E6" s="9"/>
      <c r="F6" s="10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6"/>
      <c r="S6" s="6"/>
    </row>
    <row r="7" spans="1:19" ht="16.5" customHeight="1"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5"/>
      <c r="N7" s="15"/>
      <c r="O7" s="12"/>
      <c r="P7" s="12"/>
      <c r="Q7" s="12"/>
    </row>
    <row r="8" spans="1:19" ht="15" customHeight="1">
      <c r="A8" s="105" t="s">
        <v>0</v>
      </c>
      <c r="B8" s="105" t="s">
        <v>1</v>
      </c>
      <c r="C8" s="105" t="s">
        <v>2</v>
      </c>
      <c r="D8" s="105" t="s">
        <v>3</v>
      </c>
      <c r="E8" s="105" t="s">
        <v>4</v>
      </c>
      <c r="F8" s="105" t="s">
        <v>5</v>
      </c>
      <c r="G8" s="105" t="s">
        <v>6</v>
      </c>
      <c r="H8" s="107" t="s">
        <v>130</v>
      </c>
      <c r="I8" s="108"/>
      <c r="J8" s="108"/>
      <c r="K8" s="109"/>
      <c r="L8" s="100" t="s">
        <v>131</v>
      </c>
      <c r="M8" s="101"/>
      <c r="N8" s="101"/>
      <c r="O8" s="101"/>
      <c r="P8" s="101"/>
      <c r="Q8" s="102"/>
      <c r="R8" s="103" t="s">
        <v>7</v>
      </c>
    </row>
    <row r="9" spans="1:19" ht="150" customHeight="1">
      <c r="A9" s="106"/>
      <c r="B9" s="106"/>
      <c r="C9" s="106"/>
      <c r="D9" s="106"/>
      <c r="E9" s="106"/>
      <c r="F9" s="106"/>
      <c r="G9" s="106"/>
      <c r="H9" s="77" t="s">
        <v>133</v>
      </c>
      <c r="I9" s="16" t="s">
        <v>9</v>
      </c>
      <c r="J9" s="17" t="s">
        <v>10</v>
      </c>
      <c r="K9" s="17" t="s">
        <v>129</v>
      </c>
      <c r="L9" s="80" t="s">
        <v>144</v>
      </c>
      <c r="M9" s="16" t="s">
        <v>12</v>
      </c>
      <c r="N9" s="16" t="s">
        <v>13</v>
      </c>
      <c r="O9" s="78" t="s">
        <v>134</v>
      </c>
      <c r="P9" s="78" t="s">
        <v>135</v>
      </c>
      <c r="Q9" s="16" t="s">
        <v>16</v>
      </c>
      <c r="R9" s="104"/>
    </row>
    <row r="10" spans="1:19" ht="18.75" customHeight="1">
      <c r="A10" s="97" t="s">
        <v>36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</row>
    <row r="11" spans="1:19" ht="29.25" customHeight="1">
      <c r="A11" s="68"/>
      <c r="B11" s="67"/>
      <c r="C11" s="69"/>
      <c r="D11" s="70"/>
      <c r="E11" s="35"/>
      <c r="F11" s="35"/>
      <c r="G11" s="71"/>
      <c r="H11" s="72"/>
      <c r="I11" s="72"/>
      <c r="J11" s="35"/>
      <c r="K11" s="38"/>
      <c r="L11" s="38"/>
      <c r="M11" s="38"/>
      <c r="N11" s="73"/>
      <c r="O11" s="73"/>
      <c r="P11" s="73"/>
      <c r="Q11" s="73"/>
      <c r="R11" s="35"/>
      <c r="S11" s="31">
        <f>1420406/1000</f>
        <v>1420.4059999999999</v>
      </c>
    </row>
    <row r="12" spans="1:19" ht="37.5" customHeight="1">
      <c r="A12" s="68"/>
      <c r="B12" s="67"/>
      <c r="C12" s="69"/>
      <c r="D12" s="71"/>
      <c r="E12" s="35"/>
      <c r="F12" s="35"/>
      <c r="G12" s="71"/>
      <c r="H12" s="72"/>
      <c r="I12" s="72"/>
      <c r="J12" s="74"/>
      <c r="K12" s="75"/>
      <c r="L12" s="75"/>
      <c r="M12" s="75"/>
      <c r="N12" s="73"/>
      <c r="O12" s="73"/>
      <c r="P12" s="73"/>
      <c r="Q12" s="73"/>
      <c r="R12" s="35"/>
      <c r="S12" s="36">
        <f>(48481+477391)/1000</f>
        <v>525.87199999999996</v>
      </c>
    </row>
    <row r="13" spans="1:19" ht="89.25" customHeight="1">
      <c r="A13" s="68">
        <v>3</v>
      </c>
      <c r="B13" s="79" t="s">
        <v>136</v>
      </c>
      <c r="C13" s="69" t="s">
        <v>137</v>
      </c>
      <c r="D13" s="70" t="s">
        <v>142</v>
      </c>
      <c r="E13" s="35">
        <v>158</v>
      </c>
      <c r="F13" s="81">
        <v>0.3</v>
      </c>
      <c r="G13" s="71" t="s">
        <v>138</v>
      </c>
      <c r="H13" s="20" t="s">
        <v>132</v>
      </c>
      <c r="I13" s="20" t="s">
        <v>132</v>
      </c>
      <c r="J13" s="75" t="s">
        <v>139</v>
      </c>
      <c r="K13" s="75">
        <v>118400</v>
      </c>
      <c r="L13" s="76" t="s">
        <v>145</v>
      </c>
      <c r="M13" s="75" t="s">
        <v>132</v>
      </c>
      <c r="N13" s="20">
        <v>203700</v>
      </c>
      <c r="O13" s="20"/>
      <c r="P13" s="20">
        <v>8080.45</v>
      </c>
      <c r="Q13" s="20"/>
      <c r="R13" s="35" t="s">
        <v>140</v>
      </c>
      <c r="S13" s="36">
        <f>(97710+99552+135885)/1000</f>
        <v>333.14699999999999</v>
      </c>
    </row>
    <row r="14" spans="1:19">
      <c r="A14" s="21"/>
      <c r="B14" s="21"/>
      <c r="C14" s="21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</row>
    <row r="15" spans="1:19">
      <c r="A15" s="89" t="s">
        <v>141</v>
      </c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</row>
  </sheetData>
  <mergeCells count="15">
    <mergeCell ref="A10:R10"/>
    <mergeCell ref="A15:R15"/>
    <mergeCell ref="L8:Q8"/>
    <mergeCell ref="R8:R9"/>
    <mergeCell ref="C3:K3"/>
    <mergeCell ref="A8:A9"/>
    <mergeCell ref="B8:B9"/>
    <mergeCell ref="C8:C9"/>
    <mergeCell ref="D8:D9"/>
    <mergeCell ref="E8:E9"/>
    <mergeCell ref="F8:F9"/>
    <mergeCell ref="G8:G9"/>
    <mergeCell ref="H8:K8"/>
    <mergeCell ref="A4:R4"/>
    <mergeCell ref="A5:P5"/>
  </mergeCells>
  <pageMargins left="0" right="0" top="0" bottom="0" header="0.31496062992125984" footer="0.31496062992125984"/>
  <pageSetup paperSize="9" scale="65" orientation="landscape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3"/>
  <sheetViews>
    <sheetView workbookViewId="0">
      <selection activeCell="A4" sqref="A4:R33"/>
    </sheetView>
  </sheetViews>
  <sheetFormatPr defaultRowHeight="15"/>
  <cols>
    <col min="1" max="1" width="9.140625" customWidth="1"/>
    <col min="2" max="2" width="13.42578125" customWidth="1"/>
    <col min="3" max="3" width="20.140625" customWidth="1"/>
    <col min="4" max="4" width="12.42578125" customWidth="1"/>
    <col min="7" max="7" width="11.85546875" customWidth="1"/>
    <col min="10" max="10" width="10.42578125" customWidth="1"/>
    <col min="11" max="11" width="19.28515625" customWidth="1"/>
    <col min="12" max="12" width="12.85546875" customWidth="1"/>
    <col min="13" max="13" width="17.85546875" customWidth="1"/>
    <col min="18" max="18" width="17.7109375" customWidth="1"/>
    <col min="19" max="19" width="11.140625" hidden="1" customWidth="1"/>
    <col min="20" max="20" width="11.28515625" hidden="1" customWidth="1"/>
  </cols>
  <sheetData>
    <row r="1" spans="1:20" ht="21">
      <c r="E1" s="1"/>
      <c r="F1" s="1"/>
      <c r="G1" s="1"/>
      <c r="H1" s="1"/>
      <c r="I1" s="1"/>
      <c r="J1" s="1"/>
    </row>
    <row r="3" spans="1:20" ht="18.75">
      <c r="A3" s="2"/>
      <c r="B3" s="3"/>
      <c r="C3" s="82"/>
      <c r="D3" s="82"/>
      <c r="E3" s="82"/>
      <c r="F3" s="82"/>
      <c r="G3" s="82"/>
      <c r="H3" s="82"/>
      <c r="I3" s="82"/>
      <c r="J3" s="82"/>
      <c r="K3" s="82"/>
      <c r="L3" s="5"/>
      <c r="M3" s="5"/>
      <c r="N3" s="5"/>
      <c r="O3" s="5"/>
      <c r="P3" s="5"/>
      <c r="Q3" s="5"/>
      <c r="R3" s="5"/>
    </row>
    <row r="4" spans="1:20" ht="18.75" customHeight="1">
      <c r="A4" s="110" t="s">
        <v>117</v>
      </c>
      <c r="B4" s="110"/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</row>
    <row r="5" spans="1:20" ht="18.75">
      <c r="A5" s="111" t="s">
        <v>128</v>
      </c>
      <c r="B5" s="111"/>
      <c r="C5" s="111"/>
      <c r="D5" s="111"/>
      <c r="E5" s="111"/>
      <c r="F5" s="111"/>
      <c r="G5" s="111"/>
      <c r="H5" s="111"/>
      <c r="I5" s="111"/>
      <c r="J5" s="111"/>
      <c r="K5" s="111"/>
      <c r="L5" s="111"/>
      <c r="M5" s="111"/>
      <c r="N5" s="111"/>
      <c r="O5" s="111"/>
      <c r="P5" s="111"/>
      <c r="Q5" s="8"/>
      <c r="R5" s="6"/>
      <c r="S5" s="6"/>
    </row>
    <row r="6" spans="1:20" ht="20.25">
      <c r="A6" s="7"/>
      <c r="B6" s="7"/>
      <c r="C6" s="9"/>
      <c r="D6" s="9"/>
      <c r="E6" s="9"/>
      <c r="F6" s="10"/>
      <c r="G6" s="11"/>
      <c r="H6" s="11"/>
      <c r="I6" s="11"/>
      <c r="J6" s="11"/>
      <c r="K6" s="11"/>
      <c r="L6" s="11"/>
      <c r="M6" s="12"/>
      <c r="N6" s="12"/>
      <c r="O6" s="12"/>
      <c r="P6" s="12"/>
      <c r="Q6" s="12"/>
      <c r="R6" s="6"/>
      <c r="S6" s="6"/>
    </row>
    <row r="7" spans="1:20" ht="20.25">
      <c r="B7" s="12"/>
      <c r="C7" s="12"/>
      <c r="D7" s="12"/>
      <c r="E7" s="12"/>
      <c r="F7" s="12"/>
      <c r="G7" s="12"/>
      <c r="H7" s="12"/>
      <c r="I7" s="12"/>
      <c r="J7" s="12"/>
      <c r="K7" s="13"/>
      <c r="L7" s="14"/>
      <c r="M7" s="15"/>
      <c r="N7" s="15"/>
      <c r="O7" s="12"/>
      <c r="P7" s="12"/>
      <c r="Q7" s="12"/>
    </row>
    <row r="8" spans="1:20" ht="15" customHeight="1">
      <c r="A8" s="105" t="s">
        <v>0</v>
      </c>
      <c r="B8" s="105" t="s">
        <v>1</v>
      </c>
      <c r="C8" s="105" t="s">
        <v>2</v>
      </c>
      <c r="D8" s="105" t="s">
        <v>3</v>
      </c>
      <c r="E8" s="105" t="s">
        <v>4</v>
      </c>
      <c r="F8" s="105" t="s">
        <v>5</v>
      </c>
      <c r="G8" s="105" t="s">
        <v>6</v>
      </c>
      <c r="H8" s="112" t="s">
        <v>126</v>
      </c>
      <c r="I8" s="113"/>
      <c r="J8" s="113"/>
      <c r="K8" s="114"/>
      <c r="L8" s="100" t="s">
        <v>127</v>
      </c>
      <c r="M8" s="101"/>
      <c r="N8" s="101"/>
      <c r="O8" s="101"/>
      <c r="P8" s="101"/>
      <c r="Q8" s="102"/>
      <c r="R8" s="103" t="s">
        <v>7</v>
      </c>
    </row>
    <row r="9" spans="1:20" ht="150" customHeight="1">
      <c r="A9" s="106"/>
      <c r="B9" s="106"/>
      <c r="C9" s="106"/>
      <c r="D9" s="106"/>
      <c r="E9" s="106"/>
      <c r="F9" s="106"/>
      <c r="G9" s="106"/>
      <c r="H9" s="16" t="s">
        <v>8</v>
      </c>
      <c r="I9" s="16" t="s">
        <v>9</v>
      </c>
      <c r="J9" s="17" t="s">
        <v>10</v>
      </c>
      <c r="K9" s="17" t="s">
        <v>125</v>
      </c>
      <c r="L9" s="16" t="s">
        <v>11</v>
      </c>
      <c r="M9" s="16" t="s">
        <v>12</v>
      </c>
      <c r="N9" s="16" t="s">
        <v>13</v>
      </c>
      <c r="O9" s="16" t="s">
        <v>14</v>
      </c>
      <c r="P9" s="16" t="s">
        <v>15</v>
      </c>
      <c r="Q9" s="16" t="s">
        <v>16</v>
      </c>
      <c r="R9" s="104"/>
    </row>
    <row r="10" spans="1:20" ht="18.75" customHeight="1">
      <c r="A10" s="97" t="s">
        <v>36</v>
      </c>
      <c r="B10" s="98"/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/>
      <c r="Q10" s="98"/>
      <c r="R10" s="99"/>
    </row>
    <row r="11" spans="1:20" ht="29.25" customHeight="1">
      <c r="A11" s="18">
        <v>1</v>
      </c>
      <c r="B11" s="26" t="s">
        <v>38</v>
      </c>
      <c r="C11" s="27" t="s">
        <v>39</v>
      </c>
      <c r="D11" s="28" t="s">
        <v>40</v>
      </c>
      <c r="E11" s="30">
        <f>[2]Лист1!$J$11</f>
        <v>2052</v>
      </c>
      <c r="F11" s="30">
        <f>[2]Лист1!$K$11</f>
        <v>1500</v>
      </c>
      <c r="G11" s="29" t="s">
        <v>41</v>
      </c>
      <c r="H11" s="19" t="s">
        <v>116</v>
      </c>
      <c r="I11" s="19" t="s">
        <v>116</v>
      </c>
      <c r="J11" s="30">
        <f>[2]Лист1!$L$11</f>
        <v>250</v>
      </c>
      <c r="K11" s="31">
        <f>7419118.34/1000</f>
        <v>7419.11834</v>
      </c>
      <c r="L11" s="31">
        <f>[2]Лист1!$N$11/1000</f>
        <v>5223.1699400000007</v>
      </c>
      <c r="M11" s="31">
        <f>[2]Лист1!$O$11/1000</f>
        <v>2021.9010000000001</v>
      </c>
      <c r="N11" s="20">
        <f>T11*50%</f>
        <v>87.023499999999999</v>
      </c>
      <c r="O11" s="20">
        <f>T11*20%</f>
        <v>34.809400000000004</v>
      </c>
      <c r="P11" s="20">
        <f>T11*30%</f>
        <v>52.214099999999995</v>
      </c>
      <c r="Q11" s="20" t="s">
        <v>116</v>
      </c>
      <c r="R11" s="30" t="s">
        <v>38</v>
      </c>
      <c r="S11" s="31">
        <v>1420406</v>
      </c>
      <c r="T11" s="31">
        <f>[2]Лист1!$P$11/1000</f>
        <v>174.047</v>
      </c>
    </row>
    <row r="12" spans="1:20" ht="37.5" customHeight="1">
      <c r="A12" s="18">
        <v>2</v>
      </c>
      <c r="B12" s="34" t="s">
        <v>43</v>
      </c>
      <c r="C12" s="27" t="s">
        <v>44</v>
      </c>
      <c r="D12" s="29" t="s">
        <v>45</v>
      </c>
      <c r="E12" s="35">
        <v>1500</v>
      </c>
      <c r="F12" s="62">
        <v>900</v>
      </c>
      <c r="G12" s="29" t="s">
        <v>46</v>
      </c>
      <c r="H12" s="19" t="s">
        <v>116</v>
      </c>
      <c r="I12" s="19" t="s">
        <v>116</v>
      </c>
      <c r="J12" s="35" t="s">
        <v>123</v>
      </c>
      <c r="K12" s="31">
        <f>3767241/1000</f>
        <v>3767.241</v>
      </c>
      <c r="L12" s="31">
        <f>1380300/1000</f>
        <v>1380.3</v>
      </c>
      <c r="M12" s="36">
        <f>1856800/1000</f>
        <v>1856.8</v>
      </c>
      <c r="N12" s="20">
        <f t="shared" ref="N12:N18" si="0">T12*50%</f>
        <v>76.5</v>
      </c>
      <c r="O12" s="20">
        <f t="shared" ref="O12:O18" si="1">T12*20%</f>
        <v>30.6</v>
      </c>
      <c r="P12" s="20">
        <f t="shared" ref="P12:P18" si="2">T12*30%</f>
        <v>45.9</v>
      </c>
      <c r="Q12" s="20" t="s">
        <v>116</v>
      </c>
      <c r="R12" s="35" t="s">
        <v>43</v>
      </c>
      <c r="S12" s="36">
        <f>48481+477391</f>
        <v>525872</v>
      </c>
      <c r="T12" s="36">
        <f>153000/1000</f>
        <v>153</v>
      </c>
    </row>
    <row r="13" spans="1:20" ht="27.75" customHeight="1">
      <c r="A13" s="18">
        <v>3</v>
      </c>
      <c r="B13" s="34" t="s">
        <v>49</v>
      </c>
      <c r="C13" s="27" t="s">
        <v>50</v>
      </c>
      <c r="D13" s="28" t="s">
        <v>45</v>
      </c>
      <c r="E13" s="35">
        <f>[2]Лист1!$J$15</f>
        <v>1962</v>
      </c>
      <c r="F13" s="35">
        <f>[2]Лист1!$K$15</f>
        <v>1728</v>
      </c>
      <c r="G13" s="29" t="s">
        <v>51</v>
      </c>
      <c r="H13" s="19" t="s">
        <v>116</v>
      </c>
      <c r="I13" s="19" t="s">
        <v>116</v>
      </c>
      <c r="J13" s="35">
        <f>[2]Лист1!$L$15</f>
        <v>450</v>
      </c>
      <c r="K13" s="31">
        <f>8375500/1000</f>
        <v>8375.5</v>
      </c>
      <c r="L13" s="31">
        <f>[2]Лист1!$N$15/1000</f>
        <v>4629.8</v>
      </c>
      <c r="M13" s="36">
        <f>[2]Лист1!$O$15/1000</f>
        <v>2024.8</v>
      </c>
      <c r="N13" s="20">
        <f t="shared" si="0"/>
        <v>860.45</v>
      </c>
      <c r="O13" s="20">
        <f t="shared" si="1"/>
        <v>344.18000000000006</v>
      </c>
      <c r="P13" s="20">
        <f t="shared" si="2"/>
        <v>516.27</v>
      </c>
      <c r="Q13" s="20" t="s">
        <v>116</v>
      </c>
      <c r="R13" s="35" t="s">
        <v>49</v>
      </c>
      <c r="S13" s="36">
        <f>97710+99552+135885</f>
        <v>333147</v>
      </c>
      <c r="T13" s="36">
        <f>[2]Лист1!$P$15/1000</f>
        <v>1720.9</v>
      </c>
    </row>
    <row r="14" spans="1:20" ht="29.25" customHeight="1">
      <c r="A14" s="18">
        <v>4</v>
      </c>
      <c r="B14" s="34" t="s">
        <v>53</v>
      </c>
      <c r="C14" s="27" t="s">
        <v>54</v>
      </c>
      <c r="D14" s="28" t="s">
        <v>45</v>
      </c>
      <c r="E14" s="35">
        <v>1436</v>
      </c>
      <c r="F14" s="35">
        <v>1390</v>
      </c>
      <c r="G14" s="29" t="s">
        <v>55</v>
      </c>
      <c r="H14" s="19" t="s">
        <v>116</v>
      </c>
      <c r="I14" s="19" t="s">
        <v>116</v>
      </c>
      <c r="J14" s="35" t="s">
        <v>56</v>
      </c>
      <c r="K14" s="31">
        <f>5567919/1000</f>
        <v>5567.9189999999999</v>
      </c>
      <c r="L14" s="31">
        <f>2461632/1000</f>
        <v>2461.6320000000001</v>
      </c>
      <c r="M14" s="36">
        <f>1470399/1000</f>
        <v>1470.3989999999999</v>
      </c>
      <c r="N14" s="20">
        <f t="shared" si="0"/>
        <v>758.20749999999998</v>
      </c>
      <c r="O14" s="20">
        <f t="shared" si="1"/>
        <v>303.28300000000002</v>
      </c>
      <c r="P14" s="20">
        <f t="shared" si="2"/>
        <v>454.92449999999997</v>
      </c>
      <c r="Q14" s="20" t="s">
        <v>116</v>
      </c>
      <c r="R14" s="35" t="s">
        <v>53</v>
      </c>
      <c r="S14" s="36">
        <f>391037+104865</f>
        <v>495902</v>
      </c>
      <c r="T14" s="36">
        <f>1516415/1000</f>
        <v>1516.415</v>
      </c>
    </row>
    <row r="15" spans="1:20" ht="33.75" customHeight="1">
      <c r="A15" s="18">
        <v>5</v>
      </c>
      <c r="B15" s="34" t="s">
        <v>58</v>
      </c>
      <c r="C15" s="27" t="s">
        <v>59</v>
      </c>
      <c r="D15" s="28" t="s">
        <v>60</v>
      </c>
      <c r="E15" s="35">
        <f>[2]Лист1!$J$18</f>
        <v>756</v>
      </c>
      <c r="F15" s="35">
        <f>[2]Лист1!$K$18</f>
        <v>756</v>
      </c>
      <c r="G15" s="29" t="s">
        <v>61</v>
      </c>
      <c r="H15" s="19" t="s">
        <v>116</v>
      </c>
      <c r="I15" s="19" t="s">
        <v>116</v>
      </c>
      <c r="J15" s="35">
        <v>300</v>
      </c>
      <c r="K15" s="31">
        <f>1084630/1000</f>
        <v>1084.6300000000001</v>
      </c>
      <c r="L15" s="31">
        <f>[2]Лист1!$N$18/1000</f>
        <v>395.495</v>
      </c>
      <c r="M15" s="36">
        <f>488179/1000</f>
        <v>488.17899999999997</v>
      </c>
      <c r="N15" s="20">
        <f t="shared" si="0"/>
        <v>100.47799999999999</v>
      </c>
      <c r="O15" s="20">
        <f t="shared" si="1"/>
        <v>40.191200000000002</v>
      </c>
      <c r="P15" s="20">
        <f t="shared" si="2"/>
        <v>60.286799999999992</v>
      </c>
      <c r="Q15" s="20" t="s">
        <v>116</v>
      </c>
      <c r="R15" s="35" t="s">
        <v>58</v>
      </c>
      <c r="S15" s="36">
        <v>124159</v>
      </c>
      <c r="T15" s="36">
        <f>200956/1000</f>
        <v>200.95599999999999</v>
      </c>
    </row>
    <row r="16" spans="1:20" ht="29.25" customHeight="1">
      <c r="A16" s="18">
        <v>6</v>
      </c>
      <c r="B16" s="26" t="s">
        <v>63</v>
      </c>
      <c r="C16" s="27" t="s">
        <v>64</v>
      </c>
      <c r="D16" s="29" t="s">
        <v>65</v>
      </c>
      <c r="E16" s="30">
        <v>2916</v>
      </c>
      <c r="F16" s="30">
        <v>2850</v>
      </c>
      <c r="G16" s="29" t="s">
        <v>66</v>
      </c>
      <c r="H16" s="19" t="s">
        <v>116</v>
      </c>
      <c r="I16" s="19" t="s">
        <v>116</v>
      </c>
      <c r="J16" s="30" t="s">
        <v>67</v>
      </c>
      <c r="K16" s="31">
        <f>5537780/1000</f>
        <v>5537.78</v>
      </c>
      <c r="L16" s="31">
        <f>2729300.92/1000</f>
        <v>2729.3009200000001</v>
      </c>
      <c r="M16" s="31">
        <f>1541138/1000</f>
        <v>1541.1379999999999</v>
      </c>
      <c r="N16" s="20">
        <f t="shared" si="0"/>
        <v>223.685</v>
      </c>
      <c r="O16" s="20">
        <f t="shared" si="1"/>
        <v>89.474000000000004</v>
      </c>
      <c r="P16" s="20">
        <f t="shared" si="2"/>
        <v>134.21099999999998</v>
      </c>
      <c r="Q16" s="20" t="s">
        <v>116</v>
      </c>
      <c r="R16" s="30" t="s">
        <v>63</v>
      </c>
      <c r="S16" s="31">
        <v>487480</v>
      </c>
      <c r="T16" s="31">
        <f>447370/1000</f>
        <v>447.37</v>
      </c>
    </row>
    <row r="17" spans="1:20" ht="31.5" customHeight="1">
      <c r="A17" s="18">
        <v>7</v>
      </c>
      <c r="B17" s="26" t="s">
        <v>69</v>
      </c>
      <c r="C17" s="27" t="s">
        <v>70</v>
      </c>
      <c r="D17" s="28" t="s">
        <v>45</v>
      </c>
      <c r="E17" s="30">
        <v>1586</v>
      </c>
      <c r="F17" s="30">
        <v>650</v>
      </c>
      <c r="G17" s="29" t="s">
        <v>71</v>
      </c>
      <c r="H17" s="19" t="s">
        <v>116</v>
      </c>
      <c r="I17" s="19" t="s">
        <v>116</v>
      </c>
      <c r="J17" s="30">
        <v>350</v>
      </c>
      <c r="K17" s="31">
        <f>3681463/1000</f>
        <v>3681.4630000000002</v>
      </c>
      <c r="L17" s="31">
        <f>1569016/1000</f>
        <v>1569.0160000000001</v>
      </c>
      <c r="M17" s="31">
        <f>1656192/1000</f>
        <v>1656.192</v>
      </c>
      <c r="N17" s="20">
        <f t="shared" si="0"/>
        <v>228.1275</v>
      </c>
      <c r="O17" s="20">
        <f t="shared" si="1"/>
        <v>91.251000000000005</v>
      </c>
      <c r="P17" s="20">
        <f t="shared" si="2"/>
        <v>136.87649999999999</v>
      </c>
      <c r="Q17" s="20" t="s">
        <v>116</v>
      </c>
      <c r="R17" s="30" t="s">
        <v>69</v>
      </c>
      <c r="S17" s="31">
        <v>543334</v>
      </c>
      <c r="T17" s="31">
        <f>456255/1000</f>
        <v>456.255</v>
      </c>
    </row>
    <row r="18" spans="1:20" ht="29.25" customHeight="1">
      <c r="A18" s="18">
        <v>8</v>
      </c>
      <c r="B18" s="34" t="s">
        <v>73</v>
      </c>
      <c r="C18" s="27" t="s">
        <v>74</v>
      </c>
      <c r="D18" s="42" t="s">
        <v>45</v>
      </c>
      <c r="E18" s="35">
        <v>2381</v>
      </c>
      <c r="F18" s="35">
        <v>1716</v>
      </c>
      <c r="G18" s="43" t="s">
        <v>75</v>
      </c>
      <c r="H18" s="19" t="s">
        <v>116</v>
      </c>
      <c r="I18" s="19" t="s">
        <v>116</v>
      </c>
      <c r="J18" s="35">
        <v>350</v>
      </c>
      <c r="K18" s="31">
        <f>5473800/1000</f>
        <v>5473.8</v>
      </c>
      <c r="L18" s="31">
        <f>2244500/1000</f>
        <v>2244.5</v>
      </c>
      <c r="M18" s="36">
        <f>1863200/1000</f>
        <v>1863.2</v>
      </c>
      <c r="N18" s="20">
        <f t="shared" si="0"/>
        <v>683.05</v>
      </c>
      <c r="O18" s="20">
        <f t="shared" si="1"/>
        <v>273.21999999999997</v>
      </c>
      <c r="P18" s="20">
        <f t="shared" si="2"/>
        <v>409.83</v>
      </c>
      <c r="Q18" s="20" t="s">
        <v>116</v>
      </c>
      <c r="R18" s="35" t="s">
        <v>73</v>
      </c>
      <c r="S18" s="36">
        <v>1331100</v>
      </c>
      <c r="T18" s="36">
        <f>1366100/1000</f>
        <v>1366.1</v>
      </c>
    </row>
    <row r="19" spans="1:20" ht="24.95" customHeight="1">
      <c r="A19" s="115" t="s">
        <v>77</v>
      </c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7"/>
      <c r="S19" s="60">
        <f>SUM(S11:S18)</f>
        <v>5261400</v>
      </c>
    </row>
    <row r="20" spans="1:20" ht="30.75" customHeight="1">
      <c r="A20" s="18">
        <v>9</v>
      </c>
      <c r="B20" s="34" t="s">
        <v>79</v>
      </c>
      <c r="C20" s="27" t="s">
        <v>80</v>
      </c>
      <c r="D20" s="47" t="s">
        <v>81</v>
      </c>
      <c r="E20" s="35">
        <v>1520</v>
      </c>
      <c r="F20" s="35">
        <v>884</v>
      </c>
      <c r="G20" s="47" t="s">
        <v>82</v>
      </c>
      <c r="H20" s="19" t="s">
        <v>116</v>
      </c>
      <c r="I20" s="19" t="s">
        <v>116</v>
      </c>
      <c r="J20" s="35">
        <v>200</v>
      </c>
      <c r="K20" s="36">
        <f>2686974/1000</f>
        <v>2686.9740000000002</v>
      </c>
      <c r="L20" s="36">
        <f>462666/1000</f>
        <v>462.666</v>
      </c>
      <c r="M20" s="36">
        <f>619174/1000</f>
        <v>619.17399999999998</v>
      </c>
      <c r="N20" s="20">
        <f>T20*50%</f>
        <v>802.56700000000001</v>
      </c>
      <c r="O20" s="20">
        <f>T20*20%</f>
        <v>321.02680000000004</v>
      </c>
      <c r="P20" s="20">
        <f>T20*30%</f>
        <v>481.54019999999997</v>
      </c>
      <c r="Q20" s="20" t="s">
        <v>116</v>
      </c>
      <c r="R20" s="35" t="s">
        <v>79</v>
      </c>
      <c r="S20" s="36">
        <f>415175+37398</f>
        <v>452573</v>
      </c>
      <c r="T20" s="36">
        <f>1605134/1000</f>
        <v>1605.134</v>
      </c>
    </row>
    <row r="21" spans="1:20" ht="33.75" customHeight="1">
      <c r="A21" s="18">
        <v>10</v>
      </c>
      <c r="B21" s="49" t="s">
        <v>84</v>
      </c>
      <c r="C21" s="27" t="s">
        <v>85</v>
      </c>
      <c r="D21" s="29" t="s">
        <v>86</v>
      </c>
      <c r="E21" s="30">
        <v>488</v>
      </c>
      <c r="F21" s="30">
        <v>240</v>
      </c>
      <c r="G21" s="29" t="s">
        <v>87</v>
      </c>
      <c r="H21" s="19" t="s">
        <v>116</v>
      </c>
      <c r="I21" s="19" t="s">
        <v>116</v>
      </c>
      <c r="J21" s="30">
        <v>200</v>
      </c>
      <c r="K21" s="31">
        <f>505800/1000</f>
        <v>505.8</v>
      </c>
      <c r="L21" s="31">
        <f>240692/1000</f>
        <v>240.69200000000001</v>
      </c>
      <c r="M21" s="31">
        <f>12208/1000</f>
        <v>12.208</v>
      </c>
      <c r="N21" s="20">
        <f t="shared" ref="N21:N24" si="3">T21*50%</f>
        <v>126.45</v>
      </c>
      <c r="O21" s="20">
        <f t="shared" ref="O21:O24" si="4">T21*20%</f>
        <v>50.580000000000005</v>
      </c>
      <c r="P21" s="20">
        <f t="shared" ref="P21:P24" si="5">T21*30%</f>
        <v>75.87</v>
      </c>
      <c r="Q21" s="20" t="s">
        <v>116</v>
      </c>
      <c r="R21" s="61" t="s">
        <v>84</v>
      </c>
      <c r="S21" s="31">
        <v>122720</v>
      </c>
      <c r="T21" s="31">
        <f>252900/1000</f>
        <v>252.9</v>
      </c>
    </row>
    <row r="22" spans="1:20" ht="30.75" customHeight="1">
      <c r="A22" s="18">
        <v>11</v>
      </c>
      <c r="B22" s="34" t="s">
        <v>89</v>
      </c>
      <c r="C22" s="27" t="s">
        <v>90</v>
      </c>
      <c r="D22" s="43" t="s">
        <v>40</v>
      </c>
      <c r="E22" s="35">
        <v>1368</v>
      </c>
      <c r="F22" s="35">
        <v>589</v>
      </c>
      <c r="G22" s="43" t="s">
        <v>91</v>
      </c>
      <c r="H22" s="19" t="s">
        <v>116</v>
      </c>
      <c r="I22" s="19" t="s">
        <v>116</v>
      </c>
      <c r="J22" s="35">
        <v>350</v>
      </c>
      <c r="K22" s="36">
        <f>2514900/1000</f>
        <v>2514.9</v>
      </c>
      <c r="L22" s="36">
        <f>659000/1000</f>
        <v>659</v>
      </c>
      <c r="M22" s="36">
        <f>1068600/1000</f>
        <v>1068.5999999999999</v>
      </c>
      <c r="N22" s="20">
        <f t="shared" si="3"/>
        <v>393.65</v>
      </c>
      <c r="O22" s="20">
        <f t="shared" si="4"/>
        <v>157.46</v>
      </c>
      <c r="P22" s="20">
        <f t="shared" si="5"/>
        <v>236.18999999999997</v>
      </c>
      <c r="Q22" s="20" t="s">
        <v>116</v>
      </c>
      <c r="R22" s="35" t="s">
        <v>89</v>
      </c>
      <c r="S22" s="36">
        <v>423100</v>
      </c>
      <c r="T22" s="36">
        <f>787300/1000</f>
        <v>787.3</v>
      </c>
    </row>
    <row r="23" spans="1:20" ht="33.75" customHeight="1">
      <c r="A23" s="18">
        <v>12</v>
      </c>
      <c r="B23" s="26" t="s">
        <v>93</v>
      </c>
      <c r="C23" s="50" t="s">
        <v>94</v>
      </c>
      <c r="D23" s="29" t="s">
        <v>95</v>
      </c>
      <c r="E23" s="30">
        <v>1059</v>
      </c>
      <c r="F23" s="30">
        <v>800</v>
      </c>
      <c r="G23" s="29" t="s">
        <v>96</v>
      </c>
      <c r="H23" s="19" t="s">
        <v>116</v>
      </c>
      <c r="I23" s="19" t="s">
        <v>116</v>
      </c>
      <c r="J23" s="30">
        <v>300</v>
      </c>
      <c r="K23" s="31">
        <f>1181605/1000</f>
        <v>1181.605</v>
      </c>
      <c r="L23" s="31">
        <f>978800/1000</f>
        <v>978.8</v>
      </c>
      <c r="M23" s="31">
        <f>145239/1000</f>
        <v>145.239</v>
      </c>
      <c r="N23" s="20">
        <f t="shared" si="3"/>
        <v>28.783000000000001</v>
      </c>
      <c r="O23" s="20">
        <f t="shared" si="4"/>
        <v>11.513200000000001</v>
      </c>
      <c r="P23" s="20">
        <f t="shared" si="5"/>
        <v>17.2698</v>
      </c>
      <c r="Q23" s="20" t="s">
        <v>116</v>
      </c>
      <c r="R23" s="30" t="s">
        <v>93</v>
      </c>
      <c r="S23" s="31">
        <v>158071</v>
      </c>
      <c r="T23" s="31">
        <f>57566/1000</f>
        <v>57.566000000000003</v>
      </c>
    </row>
    <row r="24" spans="1:20" ht="27.75" customHeight="1">
      <c r="A24" s="18">
        <v>13</v>
      </c>
      <c r="B24" s="52" t="s">
        <v>98</v>
      </c>
      <c r="C24" s="27" t="s">
        <v>99</v>
      </c>
      <c r="D24" s="29" t="s">
        <v>100</v>
      </c>
      <c r="E24" s="53">
        <v>2321</v>
      </c>
      <c r="F24" s="53">
        <v>1550</v>
      </c>
      <c r="G24" s="29" t="s">
        <v>101</v>
      </c>
      <c r="H24" s="19" t="s">
        <v>116</v>
      </c>
      <c r="I24" s="19" t="s">
        <v>116</v>
      </c>
      <c r="J24" s="53">
        <v>130</v>
      </c>
      <c r="K24" s="54">
        <f>1200000/1000</f>
        <v>1200</v>
      </c>
      <c r="L24" s="54">
        <f>980930/1000</f>
        <v>980.93</v>
      </c>
      <c r="M24" s="54">
        <f>165400/1000</f>
        <v>165.4</v>
      </c>
      <c r="N24" s="20">
        <f t="shared" si="3"/>
        <v>26.835000000000001</v>
      </c>
      <c r="O24" s="20">
        <f t="shared" si="4"/>
        <v>10.734000000000002</v>
      </c>
      <c r="P24" s="20">
        <f t="shared" si="5"/>
        <v>16.100999999999999</v>
      </c>
      <c r="Q24" s="20" t="s">
        <v>116</v>
      </c>
      <c r="R24" s="53" t="s">
        <v>98</v>
      </c>
      <c r="S24" s="54">
        <v>650000</v>
      </c>
      <c r="T24" s="54">
        <f>53670/1000</f>
        <v>53.67</v>
      </c>
    </row>
    <row r="25" spans="1:20" ht="24.95" customHeight="1">
      <c r="A25" s="118" t="s">
        <v>102</v>
      </c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7"/>
    </row>
    <row r="26" spans="1:20" ht="30" customHeight="1">
      <c r="A26" s="18">
        <v>14</v>
      </c>
      <c r="B26" s="52" t="s">
        <v>103</v>
      </c>
      <c r="C26" s="27" t="s">
        <v>104</v>
      </c>
      <c r="D26" s="29" t="s">
        <v>45</v>
      </c>
      <c r="E26" s="53">
        <v>2003</v>
      </c>
      <c r="F26" s="53">
        <v>1991</v>
      </c>
      <c r="G26" s="29" t="s">
        <v>105</v>
      </c>
      <c r="H26" s="19" t="s">
        <v>116</v>
      </c>
      <c r="I26" s="19" t="s">
        <v>116</v>
      </c>
      <c r="J26" s="53">
        <v>150</v>
      </c>
      <c r="K26" s="54">
        <f>910570/1000</f>
        <v>910.57</v>
      </c>
      <c r="L26" s="54">
        <f>483950/1000</f>
        <v>483.95</v>
      </c>
      <c r="M26" s="54">
        <f>291620/1000</f>
        <v>291.62</v>
      </c>
      <c r="N26" s="20">
        <f>T26*50%</f>
        <v>67.5</v>
      </c>
      <c r="O26" s="20">
        <f>T26*20%</f>
        <v>27</v>
      </c>
      <c r="P26" s="20">
        <f>T26*30%</f>
        <v>40.5</v>
      </c>
      <c r="Q26" s="20" t="s">
        <v>116</v>
      </c>
      <c r="R26" s="53" t="s">
        <v>103</v>
      </c>
      <c r="S26" s="54">
        <v>146290</v>
      </c>
      <c r="T26" s="54">
        <f>135000/1000</f>
        <v>135</v>
      </c>
    </row>
    <row r="27" spans="1:20" ht="33" customHeight="1">
      <c r="A27" s="18">
        <v>15</v>
      </c>
      <c r="B27" s="52" t="s">
        <v>106</v>
      </c>
      <c r="C27" s="27" t="s">
        <v>107</v>
      </c>
      <c r="D27" s="29" t="s">
        <v>45</v>
      </c>
      <c r="E27" s="53">
        <v>1384</v>
      </c>
      <c r="F27" s="53">
        <v>800</v>
      </c>
      <c r="G27" s="29" t="s">
        <v>108</v>
      </c>
      <c r="H27" s="19" t="s">
        <v>116</v>
      </c>
      <c r="I27" s="19" t="s">
        <v>116</v>
      </c>
      <c r="J27" s="53">
        <v>100</v>
      </c>
      <c r="K27" s="54">
        <f>535005/1000</f>
        <v>535.005</v>
      </c>
      <c r="L27" s="54">
        <f>230985/1000</f>
        <v>230.98500000000001</v>
      </c>
      <c r="M27" s="54">
        <f>147105/1000</f>
        <v>147.10499999999999</v>
      </c>
      <c r="N27" s="20">
        <f t="shared" ref="N27:N28" si="6">T27*50%</f>
        <v>47.494999999999997</v>
      </c>
      <c r="O27" s="20">
        <f t="shared" ref="O27:O28" si="7">T27*20%</f>
        <v>18.998000000000001</v>
      </c>
      <c r="P27" s="20">
        <f t="shared" ref="P27:P28" si="8">T27*30%</f>
        <v>28.496999999999996</v>
      </c>
      <c r="Q27" s="20" t="s">
        <v>116</v>
      </c>
      <c r="R27" s="53" t="s">
        <v>106</v>
      </c>
      <c r="S27" s="54">
        <v>175753</v>
      </c>
      <c r="T27" s="54">
        <f>94990/1000</f>
        <v>94.99</v>
      </c>
    </row>
    <row r="28" spans="1:20" ht="24.95" customHeight="1">
      <c r="A28" s="18">
        <v>16</v>
      </c>
      <c r="B28" s="52" t="s">
        <v>109</v>
      </c>
      <c r="C28" s="53" t="s">
        <v>110</v>
      </c>
      <c r="D28" s="29" t="s">
        <v>45</v>
      </c>
      <c r="E28" s="53">
        <f>'[1]ОО За бп'!$E$32</f>
        <v>4262</v>
      </c>
      <c r="F28" s="53">
        <f>'[3]ОО За бп'!$F$32</f>
        <v>280</v>
      </c>
      <c r="G28" s="53" t="s">
        <v>111</v>
      </c>
      <c r="H28" s="19" t="s">
        <v>116</v>
      </c>
      <c r="I28" s="19" t="s">
        <v>116</v>
      </c>
      <c r="J28" s="53">
        <v>700</v>
      </c>
      <c r="K28" s="54">
        <f>1548340/1000</f>
        <v>1548.34</v>
      </c>
      <c r="L28" s="54">
        <f>529600/1000</f>
        <v>529.6</v>
      </c>
      <c r="M28" s="54">
        <f>856420/1000</f>
        <v>856.42</v>
      </c>
      <c r="N28" s="20">
        <f t="shared" si="6"/>
        <v>101.85</v>
      </c>
      <c r="O28" s="20">
        <f t="shared" si="7"/>
        <v>40.74</v>
      </c>
      <c r="P28" s="20">
        <f t="shared" si="8"/>
        <v>61.109999999999992</v>
      </c>
      <c r="Q28" s="20" t="s">
        <v>116</v>
      </c>
      <c r="R28" s="53" t="s">
        <v>109</v>
      </c>
      <c r="S28" s="54">
        <f>'[1]ОО За бп'!$M$32</f>
        <v>165700</v>
      </c>
      <c r="T28" s="54">
        <v>203.7</v>
      </c>
    </row>
    <row r="30" spans="1:20">
      <c r="A30" s="83" t="s">
        <v>113</v>
      </c>
      <c r="B30" s="83"/>
      <c r="C30" s="83"/>
    </row>
    <row r="31" spans="1:20">
      <c r="A31" s="89" t="s">
        <v>114</v>
      </c>
      <c r="B31" s="89"/>
      <c r="C31" s="89"/>
      <c r="D31" s="89"/>
      <c r="E31" s="89"/>
      <c r="F31" s="89"/>
      <c r="G31" s="89"/>
      <c r="H31" s="89"/>
      <c r="I31" s="89"/>
      <c r="J31" s="89"/>
      <c r="K31" s="89"/>
      <c r="L31" s="89"/>
      <c r="M31" s="89"/>
      <c r="N31" s="89"/>
      <c r="O31" s="89"/>
      <c r="P31" s="89"/>
      <c r="Q31" s="89"/>
      <c r="R31" s="89"/>
    </row>
    <row r="32" spans="1:20">
      <c r="A32" s="21"/>
      <c r="B32" s="21"/>
      <c r="C32" s="21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</row>
    <row r="33" spans="1:18">
      <c r="A33" s="89" t="s">
        <v>115</v>
      </c>
      <c r="B33" s="89"/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</row>
  </sheetData>
  <mergeCells count="19">
    <mergeCell ref="A30:C30"/>
    <mergeCell ref="A31:R31"/>
    <mergeCell ref="A33:R33"/>
    <mergeCell ref="H8:K8"/>
    <mergeCell ref="L8:Q8"/>
    <mergeCell ref="R8:R9"/>
    <mergeCell ref="A10:R10"/>
    <mergeCell ref="A19:R19"/>
    <mergeCell ref="A25:R25"/>
    <mergeCell ref="C3:K3"/>
    <mergeCell ref="A4:R4"/>
    <mergeCell ref="A5:P5"/>
    <mergeCell ref="A8:A9"/>
    <mergeCell ref="B8:B9"/>
    <mergeCell ref="C8:C9"/>
    <mergeCell ref="D8:D9"/>
    <mergeCell ref="E8:E9"/>
    <mergeCell ref="F8:F9"/>
    <mergeCell ref="G8:G9"/>
  </mergeCells>
  <pageMargins left="0" right="0" top="0" bottom="0" header="0.31496062992125984" footer="0.31496062992125984"/>
  <pageSetup paperSize="9" scale="65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2</vt:i4>
      </vt:variant>
    </vt:vector>
  </HeadingPairs>
  <TitlesOfParts>
    <vt:vector size="10" baseType="lpstr">
      <vt:lpstr>2017</vt:lpstr>
      <vt:lpstr>2017 (2)</vt:lpstr>
      <vt:lpstr>оф 10 меся</vt:lpstr>
      <vt:lpstr>оф2017</vt:lpstr>
      <vt:lpstr>Лист1</vt:lpstr>
      <vt:lpstr>Лист2</vt:lpstr>
      <vt:lpstr>Лист3</vt:lpstr>
      <vt:lpstr>Лист4</vt:lpstr>
      <vt:lpstr>'2017'!_GoBack</vt:lpstr>
      <vt:lpstr>'2017 (2)'!_GoBack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2019-10-02T12:00:59Z</dcterms:modified>
</cp:coreProperties>
</file>